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00" yWindow="-15" windowWidth="12045" windowHeight="9465"/>
  </bookViews>
  <sheets>
    <sheet name="Cover" sheetId="5" r:id="rId1"/>
    <sheet name="P&amp;L" sheetId="9" r:id="rId2"/>
  </sheets>
  <externalReferences>
    <externalReference r:id="rId3"/>
  </externalReferences>
  <definedNames>
    <definedName name="_xlnm.Print_Area" localSheetId="1">'P&amp;L'!$A$1:$O$213</definedName>
    <definedName name="_xlnm.Print_Titles" localSheetId="1">'P&amp;L'!$1:$9</definedName>
  </definedNames>
  <calcPr calcId="125725"/>
</workbook>
</file>

<file path=xl/calcChain.xml><?xml version="1.0" encoding="utf-8"?>
<calcChain xmlns="http://schemas.openxmlformats.org/spreadsheetml/2006/main">
  <c r="M152" i="9"/>
  <c r="M87"/>
  <c r="M203" l="1"/>
  <c r="N158"/>
  <c r="N113"/>
  <c r="M153"/>
  <c r="M118"/>
  <c r="M113"/>
  <c r="M109"/>
  <c r="M100"/>
  <c r="M99"/>
  <c r="M93" l="1"/>
  <c r="M84"/>
  <c r="N166"/>
  <c r="N152"/>
  <c r="N141"/>
  <c r="N140"/>
  <c r="N179"/>
  <c r="N168"/>
  <c r="M166"/>
  <c r="N87" l="1"/>
  <c r="N85"/>
  <c r="N75"/>
  <c r="N67"/>
  <c r="K47" l="1"/>
  <c r="K48"/>
  <c r="K49"/>
  <c r="K50"/>
  <c r="K51"/>
  <c r="K53"/>
  <c r="M172"/>
  <c r="M171"/>
  <c r="M141"/>
  <c r="M140"/>
  <c r="M137"/>
  <c r="M136"/>
  <c r="M188"/>
  <c r="M187"/>
  <c r="M180"/>
  <c r="M179"/>
  <c r="M176"/>
  <c r="M175"/>
  <c r="M174"/>
  <c r="M173"/>
  <c r="M168"/>
  <c r="M167"/>
  <c r="M165"/>
  <c r="M159"/>
  <c r="M151"/>
  <c r="M150"/>
  <c r="M149"/>
  <c r="M148"/>
  <c r="M147"/>
  <c r="M146"/>
  <c r="M145"/>
  <c r="M144"/>
  <c r="M143"/>
  <c r="M142"/>
  <c r="O142" s="1"/>
  <c r="M114"/>
  <c r="M96"/>
  <c r="M94"/>
  <c r="O94"/>
  <c r="M85"/>
  <c r="M75"/>
  <c r="M70"/>
  <c r="M73" s="1"/>
  <c r="M67"/>
  <c r="O66"/>
  <c r="M63"/>
  <c r="M62"/>
  <c r="N205"/>
  <c r="N40" s="1"/>
  <c r="K205"/>
  <c r="J205"/>
  <c r="J207" s="1"/>
  <c r="I205"/>
  <c r="K204"/>
  <c r="K203"/>
  <c r="O203" s="1"/>
  <c r="K202"/>
  <c r="M202" s="1"/>
  <c r="O202" s="1"/>
  <c r="N199"/>
  <c r="J199"/>
  <c r="K198"/>
  <c r="O198" s="1"/>
  <c r="I198"/>
  <c r="I199" s="1"/>
  <c r="I39" s="1"/>
  <c r="M197"/>
  <c r="O197" s="1"/>
  <c r="K197"/>
  <c r="I197"/>
  <c r="O196"/>
  <c r="M196"/>
  <c r="M199" s="1"/>
  <c r="K196"/>
  <c r="D195"/>
  <c r="N190"/>
  <c r="J190"/>
  <c r="J192" s="1"/>
  <c r="I190"/>
  <c r="I37" s="1"/>
  <c r="O189"/>
  <c r="K189"/>
  <c r="K188"/>
  <c r="K187"/>
  <c r="O184"/>
  <c r="O36" s="1"/>
  <c r="N182"/>
  <c r="J182"/>
  <c r="I182"/>
  <c r="I35" s="1"/>
  <c r="O181"/>
  <c r="K180"/>
  <c r="O180" s="1"/>
  <c r="K179"/>
  <c r="I179"/>
  <c r="K178"/>
  <c r="O178" s="1"/>
  <c r="K177"/>
  <c r="O177" s="1"/>
  <c r="K176"/>
  <c r="O176" s="1"/>
  <c r="K175"/>
  <c r="K174"/>
  <c r="O174" s="1"/>
  <c r="K173"/>
  <c r="O173" s="1"/>
  <c r="K172"/>
  <c r="O172" s="1"/>
  <c r="K171"/>
  <c r="N169"/>
  <c r="N34" s="1"/>
  <c r="J169"/>
  <c r="I169"/>
  <c r="K168"/>
  <c r="O168" s="1"/>
  <c r="K167"/>
  <c r="O167" s="1"/>
  <c r="K166"/>
  <c r="K165"/>
  <c r="K164"/>
  <c r="O164" s="1"/>
  <c r="K163"/>
  <c r="N161"/>
  <c r="N33" s="1"/>
  <c r="J161"/>
  <c r="K160"/>
  <c r="O160" s="1"/>
  <c r="K159"/>
  <c r="K158"/>
  <c r="I158"/>
  <c r="I161" s="1"/>
  <c r="I33" s="1"/>
  <c r="K157"/>
  <c r="N155"/>
  <c r="N32" s="1"/>
  <c r="J155"/>
  <c r="M154"/>
  <c r="O154" s="1"/>
  <c r="I154"/>
  <c r="K153"/>
  <c r="K52" s="1"/>
  <c r="K152"/>
  <c r="I152"/>
  <c r="O151"/>
  <c r="K151"/>
  <c r="K150"/>
  <c r="O150" s="1"/>
  <c r="O149"/>
  <c r="K149"/>
  <c r="K148"/>
  <c r="K147"/>
  <c r="O147" s="1"/>
  <c r="K146"/>
  <c r="O146" s="1"/>
  <c r="K145"/>
  <c r="O145" s="1"/>
  <c r="K144"/>
  <c r="I144"/>
  <c r="O143"/>
  <c r="K143"/>
  <c r="K142"/>
  <c r="O141"/>
  <c r="K141"/>
  <c r="I141"/>
  <c r="K140"/>
  <c r="I140"/>
  <c r="N138"/>
  <c r="J138"/>
  <c r="O137"/>
  <c r="K137"/>
  <c r="K136"/>
  <c r="K138" s="1"/>
  <c r="K31" s="1"/>
  <c r="N133"/>
  <c r="J133"/>
  <c r="I133"/>
  <c r="K132"/>
  <c r="K131"/>
  <c r="N129"/>
  <c r="N29" s="1"/>
  <c r="J129"/>
  <c r="I129"/>
  <c r="K128"/>
  <c r="O128" s="1"/>
  <c r="I128"/>
  <c r="K127"/>
  <c r="I127"/>
  <c r="N124"/>
  <c r="K124"/>
  <c r="J124"/>
  <c r="I124"/>
  <c r="K123"/>
  <c r="O123" s="1"/>
  <c r="O122"/>
  <c r="K122"/>
  <c r="M122" s="1"/>
  <c r="K121"/>
  <c r="M121" s="1"/>
  <c r="M124" s="1"/>
  <c r="M28" s="1"/>
  <c r="N119"/>
  <c r="M119"/>
  <c r="K119"/>
  <c r="J119"/>
  <c r="I119"/>
  <c r="K118"/>
  <c r="O118" s="1"/>
  <c r="O117"/>
  <c r="K117"/>
  <c r="M117" s="1"/>
  <c r="N115"/>
  <c r="J115"/>
  <c r="K114"/>
  <c r="O114" s="1"/>
  <c r="O113"/>
  <c r="K113"/>
  <c r="I113"/>
  <c r="I115" s="1"/>
  <c r="O112"/>
  <c r="K112"/>
  <c r="M112" s="1"/>
  <c r="M115" s="1"/>
  <c r="N110"/>
  <c r="K110"/>
  <c r="J110"/>
  <c r="K109"/>
  <c r="O109" s="1"/>
  <c r="I109"/>
  <c r="I110" s="1"/>
  <c r="I25" s="1"/>
  <c r="K108"/>
  <c r="M108" s="1"/>
  <c r="O108" s="1"/>
  <c r="N102"/>
  <c r="K102"/>
  <c r="J102"/>
  <c r="I102"/>
  <c r="O101"/>
  <c r="K101"/>
  <c r="O100"/>
  <c r="K100"/>
  <c r="O99"/>
  <c r="K99"/>
  <c r="N97"/>
  <c r="N22" s="1"/>
  <c r="J97"/>
  <c r="J104" s="1"/>
  <c r="O96"/>
  <c r="K96"/>
  <c r="O95"/>
  <c r="K95"/>
  <c r="I95"/>
  <c r="K94"/>
  <c r="K93"/>
  <c r="O93" s="1"/>
  <c r="I93"/>
  <c r="I97" s="1"/>
  <c r="K92"/>
  <c r="M92" s="1"/>
  <c r="N90"/>
  <c r="N21" s="1"/>
  <c r="J90"/>
  <c r="K89"/>
  <c r="O89" s="1"/>
  <c r="K88"/>
  <c r="O88" s="1"/>
  <c r="K87"/>
  <c r="K86"/>
  <c r="I86"/>
  <c r="K85"/>
  <c r="X84"/>
  <c r="O84"/>
  <c r="K84"/>
  <c r="I84"/>
  <c r="K83"/>
  <c r="I83"/>
  <c r="I47" s="1"/>
  <c r="I54" s="1"/>
  <c r="N76"/>
  <c r="N16" s="1"/>
  <c r="M76"/>
  <c r="M16" s="1"/>
  <c r="K76"/>
  <c r="J76"/>
  <c r="J78" s="1"/>
  <c r="O75"/>
  <c r="O76" s="1"/>
  <c r="K75"/>
  <c r="I75"/>
  <c r="I76" s="1"/>
  <c r="I16" s="1"/>
  <c r="N73"/>
  <c r="J73"/>
  <c r="I73"/>
  <c r="O72"/>
  <c r="O71"/>
  <c r="K71"/>
  <c r="K70"/>
  <c r="K73" s="1"/>
  <c r="K78" s="1"/>
  <c r="N68"/>
  <c r="K68"/>
  <c r="J68"/>
  <c r="I68"/>
  <c r="O67"/>
  <c r="K67"/>
  <c r="K66"/>
  <c r="A65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N64"/>
  <c r="N13" s="1"/>
  <c r="K64"/>
  <c r="K13" s="1"/>
  <c r="J64"/>
  <c r="I64"/>
  <c r="O63"/>
  <c r="K63"/>
  <c r="A63"/>
  <c r="A64" s="1"/>
  <c r="M64"/>
  <c r="M13" s="1"/>
  <c r="K62"/>
  <c r="L55"/>
  <c r="N53"/>
  <c r="J53"/>
  <c r="N52"/>
  <c r="J52"/>
  <c r="I52"/>
  <c r="N51"/>
  <c r="J51"/>
  <c r="I51"/>
  <c r="N50"/>
  <c r="J50"/>
  <c r="I50"/>
  <c r="N49"/>
  <c r="J49"/>
  <c r="I49"/>
  <c r="N48"/>
  <c r="J48"/>
  <c r="N47"/>
  <c r="J47"/>
  <c r="K40"/>
  <c r="J40"/>
  <c r="I40"/>
  <c r="N39"/>
  <c r="M39"/>
  <c r="J39"/>
  <c r="N37"/>
  <c r="J37"/>
  <c r="N36"/>
  <c r="M36"/>
  <c r="K36"/>
  <c r="J36"/>
  <c r="I36"/>
  <c r="N35"/>
  <c r="J35"/>
  <c r="J34"/>
  <c r="I34"/>
  <c r="J33"/>
  <c r="J32"/>
  <c r="N31"/>
  <c r="J31"/>
  <c r="N30"/>
  <c r="J30"/>
  <c r="I30"/>
  <c r="J29"/>
  <c r="I29"/>
  <c r="N28"/>
  <c r="K28"/>
  <c r="J28"/>
  <c r="I28"/>
  <c r="N27"/>
  <c r="M27"/>
  <c r="K27"/>
  <c r="J27"/>
  <c r="I27"/>
  <c r="N26"/>
  <c r="M26"/>
  <c r="J26"/>
  <c r="I26"/>
  <c r="N25"/>
  <c r="K25"/>
  <c r="J25"/>
  <c r="W23"/>
  <c r="W24" s="1"/>
  <c r="W25" s="1"/>
  <c r="W26" s="1"/>
  <c r="W27" s="1"/>
  <c r="W28" s="1"/>
  <c r="W29" s="1"/>
  <c r="W30" s="1"/>
  <c r="W31" s="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T23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N23"/>
  <c r="K23"/>
  <c r="J23"/>
  <c r="J41" s="1"/>
  <c r="I23"/>
  <c r="W22"/>
  <c r="V22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T22"/>
  <c r="J22"/>
  <c r="I22"/>
  <c r="W21"/>
  <c r="V21"/>
  <c r="U2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J21"/>
  <c r="X16"/>
  <c r="X17" s="1"/>
  <c r="X18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X35" s="1"/>
  <c r="X36" s="1"/>
  <c r="X37" s="1"/>
  <c r="X38" s="1"/>
  <c r="X39" s="1"/>
  <c r="X40" s="1"/>
  <c r="X41" s="1"/>
  <c r="O16"/>
  <c r="K16"/>
  <c r="J16"/>
  <c r="N15"/>
  <c r="J15"/>
  <c r="I15"/>
  <c r="N14"/>
  <c r="K14"/>
  <c r="J14"/>
  <c r="I14"/>
  <c r="J13"/>
  <c r="J17" s="1"/>
  <c r="I13"/>
  <c r="I17" s="1"/>
  <c r="J43" l="1"/>
  <c r="J54"/>
  <c r="J55" s="1"/>
  <c r="O102"/>
  <c r="O23" s="1"/>
  <c r="N41"/>
  <c r="O53"/>
  <c r="N54"/>
  <c r="N17"/>
  <c r="N78"/>
  <c r="O204"/>
  <c r="O199"/>
  <c r="O39" s="1"/>
  <c r="O188"/>
  <c r="O179"/>
  <c r="O166"/>
  <c r="O165"/>
  <c r="O159"/>
  <c r="O152"/>
  <c r="O144"/>
  <c r="O148"/>
  <c r="O153"/>
  <c r="O132"/>
  <c r="O87"/>
  <c r="O68"/>
  <c r="O14" s="1"/>
  <c r="M15"/>
  <c r="J56"/>
  <c r="O85"/>
  <c r="M51"/>
  <c r="A197"/>
  <c r="A196"/>
  <c r="A198" s="1"/>
  <c r="A199" s="1"/>
  <c r="A200" s="1"/>
  <c r="I90"/>
  <c r="I21" s="1"/>
  <c r="I155"/>
  <c r="I32" s="1"/>
  <c r="I53"/>
  <c r="N192"/>
  <c r="I48"/>
  <c r="M53"/>
  <c r="O121"/>
  <c r="O124" s="1"/>
  <c r="O28" s="1"/>
  <c r="K129"/>
  <c r="K29" s="1"/>
  <c r="K15"/>
  <c r="K17" s="1"/>
  <c r="O70"/>
  <c r="O73" s="1"/>
  <c r="O15" s="1"/>
  <c r="K97"/>
  <c r="O110"/>
  <c r="O25" s="1"/>
  <c r="M110"/>
  <c r="M25" s="1"/>
  <c r="K169"/>
  <c r="K34" s="1"/>
  <c r="M190"/>
  <c r="O187"/>
  <c r="O190" s="1"/>
  <c r="M155"/>
  <c r="M32" s="1"/>
  <c r="O62"/>
  <c r="O64" s="1"/>
  <c r="O13" s="1"/>
  <c r="M68"/>
  <c r="M14" s="1"/>
  <c r="M17" s="1"/>
  <c r="I78"/>
  <c r="K90"/>
  <c r="K21" s="1"/>
  <c r="O92"/>
  <c r="O97" s="1"/>
  <c r="M97"/>
  <c r="O140"/>
  <c r="N104"/>
  <c r="M102"/>
  <c r="M23" s="1"/>
  <c r="O115"/>
  <c r="O26" s="1"/>
  <c r="O119"/>
  <c r="O27" s="1"/>
  <c r="M158"/>
  <c r="O158" s="1"/>
  <c r="O48" s="1"/>
  <c r="K182"/>
  <c r="K35" s="1"/>
  <c r="J209"/>
  <c r="J211" s="1"/>
  <c r="J213" s="1"/>
  <c r="O205"/>
  <c r="K115"/>
  <c r="K26" s="1"/>
  <c r="K161"/>
  <c r="K33" s="1"/>
  <c r="M205"/>
  <c r="M83"/>
  <c r="K133"/>
  <c r="K30" s="1"/>
  <c r="M157"/>
  <c r="K190"/>
  <c r="K199"/>
  <c r="K39" s="1"/>
  <c r="I207"/>
  <c r="N207"/>
  <c r="K155"/>
  <c r="K32" s="1"/>
  <c r="O51" l="1"/>
  <c r="I192"/>
  <c r="I41"/>
  <c r="I55" s="1"/>
  <c r="N55"/>
  <c r="N43"/>
  <c r="O155"/>
  <c r="O32" s="1"/>
  <c r="O78"/>
  <c r="O136"/>
  <c r="O138" s="1"/>
  <c r="O31" s="1"/>
  <c r="M138"/>
  <c r="M31" s="1"/>
  <c r="O157"/>
  <c r="O161" s="1"/>
  <c r="O33" s="1"/>
  <c r="M161"/>
  <c r="M33" s="1"/>
  <c r="M207"/>
  <c r="M40"/>
  <c r="O22"/>
  <c r="O17"/>
  <c r="K207"/>
  <c r="O163"/>
  <c r="O169" s="1"/>
  <c r="O34" s="1"/>
  <c r="M169"/>
  <c r="M34" s="1"/>
  <c r="K104"/>
  <c r="K22"/>
  <c r="K41" s="1"/>
  <c r="O86"/>
  <c r="O52" s="1"/>
  <c r="M52"/>
  <c r="A201"/>
  <c r="A202"/>
  <c r="O131"/>
  <c r="M133"/>
  <c r="M30" s="1"/>
  <c r="M49"/>
  <c r="M182"/>
  <c r="M35" s="1"/>
  <c r="O171"/>
  <c r="I104"/>
  <c r="O175"/>
  <c r="O50" s="1"/>
  <c r="M50"/>
  <c r="I209"/>
  <c r="M48"/>
  <c r="O127"/>
  <c r="O129" s="1"/>
  <c r="O29" s="1"/>
  <c r="M129"/>
  <c r="M29" s="1"/>
  <c r="I211"/>
  <c r="I213" s="1"/>
  <c r="O37"/>
  <c r="K192"/>
  <c r="K209" s="1"/>
  <c r="K37"/>
  <c r="M47"/>
  <c r="M90"/>
  <c r="M21" s="1"/>
  <c r="O83"/>
  <c r="O207"/>
  <c r="O40"/>
  <c r="M22"/>
  <c r="M37"/>
  <c r="K54"/>
  <c r="N209"/>
  <c r="N211" s="1"/>
  <c r="M78"/>
  <c r="I43" l="1"/>
  <c r="K211"/>
  <c r="K213" s="1"/>
  <c r="M104"/>
  <c r="O182"/>
  <c r="O35" s="1"/>
  <c r="M54"/>
  <c r="K56"/>
  <c r="K55"/>
  <c r="K43"/>
  <c r="N213"/>
  <c r="O47"/>
  <c r="O90"/>
  <c r="M192"/>
  <c r="A204"/>
  <c r="A205" s="1"/>
  <c r="A206" s="1"/>
  <c r="A207" s="1"/>
  <c r="A208" s="1"/>
  <c r="A209" s="1"/>
  <c r="A210" s="1"/>
  <c r="A211" s="1"/>
  <c r="A212" s="1"/>
  <c r="A213" s="1"/>
  <c r="A203"/>
  <c r="M41"/>
  <c r="O133"/>
  <c r="O49"/>
  <c r="M209" l="1"/>
  <c r="M211" s="1"/>
  <c r="M213" s="1"/>
  <c r="M55"/>
  <c r="M43"/>
  <c r="O43" s="1"/>
  <c r="O21"/>
  <c r="O41" s="1"/>
  <c r="O104"/>
  <c r="O54"/>
  <c r="O30"/>
  <c r="O192"/>
  <c r="O211" l="1"/>
  <c r="O213" s="1"/>
  <c r="O209"/>
  <c r="O55"/>
</calcChain>
</file>

<file path=xl/comments1.xml><?xml version="1.0" encoding="utf-8"?>
<comments xmlns="http://schemas.openxmlformats.org/spreadsheetml/2006/main">
  <authors>
    <author>Peter Costa</author>
  </authors>
  <commentList>
    <comment ref="K75" authorId="0">
      <text>
        <r>
          <rPr>
            <b/>
            <sz val="9"/>
            <color indexed="81"/>
            <rFont val="Tahoma"/>
            <family val="2"/>
          </rPr>
          <t>Peter Costa:</t>
        </r>
        <r>
          <rPr>
            <sz val="9"/>
            <color indexed="81"/>
            <rFont val="Tahoma"/>
            <family val="2"/>
          </rPr>
          <t xml:space="preserve">
e grants 15-16
 include a carryover of 200,000
</t>
        </r>
      </text>
    </comment>
    <comment ref="I179" authorId="0">
      <text>
        <r>
          <rPr>
            <b/>
            <sz val="9"/>
            <color indexed="81"/>
            <rFont val="Tahoma"/>
            <family val="2"/>
          </rPr>
          <t>Peter Costa:</t>
        </r>
        <r>
          <rPr>
            <sz val="9"/>
            <color indexed="81"/>
            <rFont val="Tahoma"/>
            <family val="2"/>
          </rPr>
          <t xml:space="preserve">
includes 65,000
security- Mosaica</t>
        </r>
      </text>
    </comment>
  </commentList>
</comments>
</file>

<file path=xl/sharedStrings.xml><?xml version="1.0" encoding="utf-8"?>
<sst xmlns="http://schemas.openxmlformats.org/spreadsheetml/2006/main" count="191" uniqueCount="122">
  <si>
    <t>MOSAICA</t>
  </si>
  <si>
    <t>Fiscal Year</t>
  </si>
  <si>
    <t>Budgeted Enrollment</t>
  </si>
  <si>
    <t>Organization</t>
  </si>
  <si>
    <t>K-8</t>
  </si>
  <si>
    <t>Budget</t>
  </si>
  <si>
    <t>Revenues</t>
  </si>
  <si>
    <t>State</t>
  </si>
  <si>
    <t>Federal</t>
  </si>
  <si>
    <t>Total Revenue</t>
  </si>
  <si>
    <t>Expenditures</t>
  </si>
  <si>
    <t>Instruction</t>
  </si>
  <si>
    <t>Total Expenditures</t>
  </si>
  <si>
    <t>Ending Fund Balance</t>
  </si>
  <si>
    <t>Summary by Function</t>
  </si>
  <si>
    <t>School District Subsidy</t>
  </si>
  <si>
    <t>Other Local</t>
  </si>
  <si>
    <t>Regular Education</t>
  </si>
  <si>
    <t>Special Programs</t>
  </si>
  <si>
    <t>Other Instructional Programs</t>
  </si>
  <si>
    <t>Support Services</t>
  </si>
  <si>
    <t>Guidance</t>
  </si>
  <si>
    <t>Psychological Services</t>
  </si>
  <si>
    <t>Social Worker</t>
  </si>
  <si>
    <t>Library</t>
  </si>
  <si>
    <t>Professional Development</t>
  </si>
  <si>
    <t>Legal Services</t>
  </si>
  <si>
    <t>Administrative</t>
  </si>
  <si>
    <t>Pupil Health</t>
  </si>
  <si>
    <t>Business</t>
  </si>
  <si>
    <t>Building Services</t>
  </si>
  <si>
    <t>Technology</t>
  </si>
  <si>
    <t>Noninstructional Services</t>
  </si>
  <si>
    <t>Student Activities</t>
  </si>
  <si>
    <t>Revenues Over (Under) Expenditures</t>
  </si>
  <si>
    <t>Summary by Major Class</t>
  </si>
  <si>
    <t>Salaries</t>
  </si>
  <si>
    <t>Benefits</t>
  </si>
  <si>
    <t>Professional Services</t>
  </si>
  <si>
    <t>Other Purchased Services</t>
  </si>
  <si>
    <t>Supplies and Books</t>
  </si>
  <si>
    <t>Equipment</t>
  </si>
  <si>
    <t>Opening Fund Balance - Undesignated</t>
  </si>
  <si>
    <t>Special Education</t>
  </si>
  <si>
    <t>IDEA</t>
  </si>
  <si>
    <t>Commonwealth</t>
  </si>
  <si>
    <t>Rental &amp; Sinking Fund Payments</t>
  </si>
  <si>
    <t>Health Services</t>
  </si>
  <si>
    <t>PSERS</t>
  </si>
  <si>
    <t>Federal Entitlements</t>
  </si>
  <si>
    <t>Total Revenues</t>
  </si>
  <si>
    <t>Employee Benefits</t>
  </si>
  <si>
    <t>Supplies</t>
  </si>
  <si>
    <t>Books</t>
  </si>
  <si>
    <t>Furniture &amp; Equipment</t>
  </si>
  <si>
    <t>Computers</t>
  </si>
  <si>
    <t>Total Instruction</t>
  </si>
  <si>
    <t>Counseling</t>
  </si>
  <si>
    <t>Conferences</t>
  </si>
  <si>
    <t>Audit Services</t>
  </si>
  <si>
    <t>American Paradigm Schools</t>
  </si>
  <si>
    <t xml:space="preserve">Management Fee - Mosaica </t>
  </si>
  <si>
    <t>Other Professional Services</t>
  </si>
  <si>
    <t>Postage</t>
  </si>
  <si>
    <t>Telephone</t>
  </si>
  <si>
    <t>Advertising</t>
  </si>
  <si>
    <t>Travel</t>
  </si>
  <si>
    <t>Software</t>
  </si>
  <si>
    <t>Business Services</t>
  </si>
  <si>
    <t>Printing</t>
  </si>
  <si>
    <t>Software Hosting and Amortization</t>
  </si>
  <si>
    <t>Operation &amp; Maintenance</t>
  </si>
  <si>
    <t>Property Services</t>
  </si>
  <si>
    <t>Insurance</t>
  </si>
  <si>
    <t>Utilities</t>
  </si>
  <si>
    <t>Rent</t>
  </si>
  <si>
    <t>Trash</t>
  </si>
  <si>
    <t>Custodial</t>
  </si>
  <si>
    <t>Renovations</t>
  </si>
  <si>
    <t>School Van</t>
  </si>
  <si>
    <t>Central Information Technology</t>
  </si>
  <si>
    <t>Internet Services</t>
  </si>
  <si>
    <t>Total Support Services</t>
  </si>
  <si>
    <t>Non Instructional Activities</t>
  </si>
  <si>
    <t>Parent Involvement</t>
  </si>
  <si>
    <t>Excess of Revenue over Expenditures</t>
  </si>
  <si>
    <t>Statement of Revenues and Expenditures</t>
  </si>
  <si>
    <t xml:space="preserve">Allocated </t>
  </si>
  <si>
    <t>Actual</t>
  </si>
  <si>
    <t>Variance</t>
  </si>
  <si>
    <t>School Data</t>
  </si>
  <si>
    <t>Payroll</t>
  </si>
  <si>
    <t>Pay Period</t>
  </si>
  <si>
    <t>Pay</t>
  </si>
  <si>
    <t>Number</t>
  </si>
  <si>
    <t>From</t>
  </si>
  <si>
    <t>To</t>
  </si>
  <si>
    <t>Date</t>
  </si>
  <si>
    <t>Payroll Services/Bank Charges</t>
  </si>
  <si>
    <t>Adopted Budget</t>
  </si>
  <si>
    <t>Transportation</t>
  </si>
  <si>
    <t>Transportation Chargeback SDP</t>
  </si>
  <si>
    <t xml:space="preserve">Transportation </t>
  </si>
  <si>
    <t>Contributions and Misc.</t>
  </si>
  <si>
    <t>Financial Operations Report</t>
  </si>
  <si>
    <t>Office of the CEO</t>
  </si>
  <si>
    <t>Office of CEO</t>
  </si>
  <si>
    <t>APS + Transportation</t>
  </si>
  <si>
    <t>Professional Services includes trans chargeback</t>
  </si>
  <si>
    <t>Books and Software</t>
  </si>
  <si>
    <t>Approved  Budget</t>
  </si>
  <si>
    <t>Legal and Auditing Services</t>
  </si>
  <si>
    <t>Other</t>
  </si>
  <si>
    <t>Other Administrative Expenses</t>
  </si>
  <si>
    <t>2016-2017</t>
  </si>
  <si>
    <t>Aug 2016</t>
  </si>
  <si>
    <t>(640 reg, 85 special)</t>
  </si>
  <si>
    <t>Lindley Academy Charter School</t>
  </si>
  <si>
    <t>2016-17</t>
  </si>
  <si>
    <t>Uniforms and Supplies</t>
  </si>
  <si>
    <t>Working Budget</t>
  </si>
  <si>
    <t>Lindley Academy Charter School at Birney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</si>
</sst>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[$-409]mmmm\ d\,\ yyyy;@"/>
    <numFmt numFmtId="167" formatCode="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8"/>
      <color theme="0"/>
      <name val="Tahoma"/>
      <family val="2"/>
    </font>
    <font>
      <sz val="11"/>
      <color indexed="9"/>
      <name val="Calibri"/>
      <family val="2"/>
    </font>
    <font>
      <sz val="8"/>
      <color rgb="FF9C0006"/>
      <name val="Tahoma"/>
      <family val="2"/>
    </font>
    <font>
      <sz val="11"/>
      <color indexed="20"/>
      <name val="Calibri"/>
      <family val="2"/>
    </font>
    <font>
      <b/>
      <sz val="8"/>
      <color rgb="FFFA7D00"/>
      <name val="Tahoma"/>
      <family val="2"/>
    </font>
    <font>
      <b/>
      <sz val="11"/>
      <color indexed="52"/>
      <name val="Calibri"/>
      <family val="2"/>
    </font>
    <font>
      <b/>
      <sz val="8"/>
      <color theme="0"/>
      <name val="Tahoma"/>
      <family val="2"/>
    </font>
    <font>
      <b/>
      <sz val="11"/>
      <color indexed="9"/>
      <name val="Calibri"/>
      <family val="2"/>
    </font>
    <font>
      <i/>
      <sz val="8"/>
      <color rgb="FF7F7F7F"/>
      <name val="Tahoma"/>
      <family val="2"/>
    </font>
    <font>
      <i/>
      <sz val="11"/>
      <color indexed="23"/>
      <name val="Calibri"/>
      <family val="2"/>
    </font>
    <font>
      <sz val="8"/>
      <color rgb="FF006100"/>
      <name val="Tahoma"/>
      <family val="2"/>
    </font>
    <font>
      <sz val="11"/>
      <color indexed="17"/>
      <name val="Calibri"/>
      <family val="2"/>
    </font>
    <font>
      <b/>
      <sz val="8"/>
      <color theme="3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rgb="FF3F3F76"/>
      <name val="Tahoma"/>
      <family val="2"/>
    </font>
    <font>
      <sz val="11"/>
      <color indexed="62"/>
      <name val="Calibri"/>
      <family val="2"/>
    </font>
    <font>
      <sz val="8"/>
      <color rgb="FFFA7D00"/>
      <name val="Tahoma"/>
      <family val="2"/>
    </font>
    <font>
      <sz val="11"/>
      <color indexed="52"/>
      <name val="Calibri"/>
      <family val="2"/>
    </font>
    <font>
      <sz val="8"/>
      <color rgb="FF9C6500"/>
      <name val="Tahoma"/>
      <family val="2"/>
    </font>
    <font>
      <sz val="11"/>
      <color indexed="60"/>
      <name val="Calibri"/>
      <family val="2"/>
    </font>
    <font>
      <b/>
      <sz val="8"/>
      <color rgb="FF3F3F3F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b/>
      <sz val="11"/>
      <color indexed="8"/>
      <name val="Calibri"/>
      <family val="2"/>
    </font>
    <font>
      <sz val="8"/>
      <color rgb="FFFF0000"/>
      <name val="Tahoma"/>
      <family val="2"/>
    </font>
    <font>
      <sz val="11"/>
      <color indexed="10"/>
      <name val="Calibri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8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98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3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3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3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39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4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4" fillId="41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43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4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39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4" fillId="42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4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46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43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4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4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6" fillId="49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6" fillId="5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5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5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4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4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6" fillId="53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20" fillId="54" borderId="22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2" fillId="55" borderId="23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38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24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9" fillId="0" borderId="2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0" fillId="0" borderId="26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2" fillId="41" borderId="22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0" borderId="27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6" fillId="5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5" fillId="57" borderId="28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8" fillId="54" borderId="29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2" fillId="0" borderId="30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0"/>
    <xf numFmtId="44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3" fillId="29" borderId="0" applyNumberFormat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3" fillId="29" borderId="0" applyNumberFormat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21" fillId="10" borderId="19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9" fillId="9" borderId="16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43" fontId="5" fillId="0" borderId="0" applyFont="0" applyFill="0" applyBorder="0" applyAlignment="0" applyProtection="0"/>
    <xf numFmtId="0" fontId="49" fillId="0" borderId="0"/>
    <xf numFmtId="0" fontId="49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0"/>
    <xf numFmtId="0" fontId="5" fillId="0" borderId="0"/>
    <xf numFmtId="0" fontId="15" fillId="19" borderId="0" applyNumberFormat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1" fillId="8" borderId="16" applyNumberFormat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13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13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50" fillId="11" borderId="20" applyNumberFormat="0" applyFon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0" fontId="37" fillId="9" borderId="17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105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6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" fontId="4" fillId="0" borderId="0" xfId="1" applyNumberFormat="1" applyFont="1" applyFill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Fill="1"/>
    <xf numFmtId="0" fontId="5" fillId="0" borderId="0" xfId="0" applyFont="1" applyFill="1"/>
    <xf numFmtId="0" fontId="5" fillId="0" borderId="0" xfId="0" quotePrefix="1" applyFont="1" applyAlignment="1">
      <alignment horizontal="left"/>
    </xf>
    <xf numFmtId="164" fontId="5" fillId="0" borderId="0" xfId="0" applyNumberFormat="1" applyFont="1" applyFill="1"/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1" fontId="7" fillId="0" borderId="0" xfId="0" applyNumberFormat="1" applyFont="1" applyFill="1"/>
    <xf numFmtId="41" fontId="5" fillId="0" borderId="0" xfId="0" applyNumberFormat="1" applyFont="1" applyFill="1"/>
    <xf numFmtId="41" fontId="5" fillId="0" borderId="1" xfId="0" applyNumberFormat="1" applyFont="1" applyFill="1" applyBorder="1"/>
    <xf numFmtId="41" fontId="5" fillId="0" borderId="1" xfId="0" applyNumberFormat="1" applyFont="1" applyBorder="1"/>
    <xf numFmtId="41" fontId="5" fillId="0" borderId="0" xfId="0" applyNumberFormat="1" applyFont="1" applyBorder="1"/>
    <xf numFmtId="0" fontId="5" fillId="3" borderId="0" xfId="0" applyFont="1" applyFill="1"/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Border="1"/>
    <xf numFmtId="41" fontId="5" fillId="0" borderId="0" xfId="0" applyNumberFormat="1" applyFont="1"/>
    <xf numFmtId="0" fontId="4" fillId="0" borderId="0" xfId="0" quotePrefix="1" applyNumberFormat="1" applyFont="1" applyBorder="1" applyAlignment="1"/>
    <xf numFmtId="0" fontId="10" fillId="0" borderId="0" xfId="0" applyFont="1"/>
    <xf numFmtId="0" fontId="10" fillId="0" borderId="0" xfId="0" applyFont="1" applyFill="1"/>
    <xf numFmtId="41" fontId="4" fillId="0" borderId="0" xfId="1" applyNumberFormat="1" applyFont="1" applyFill="1" applyBorder="1" applyAlignment="1">
      <alignment horizontal="right"/>
    </xf>
    <xf numFmtId="41" fontId="5" fillId="3" borderId="0" xfId="0" applyNumberFormat="1" applyFont="1" applyFill="1"/>
    <xf numFmtId="41" fontId="10" fillId="0" borderId="0" xfId="0" applyNumberFormat="1" applyFont="1"/>
    <xf numFmtId="41" fontId="5" fillId="0" borderId="0" xfId="1" applyNumberFormat="1" applyFont="1" applyFill="1" applyBorder="1" applyAlignment="1">
      <alignment horizontal="right"/>
    </xf>
    <xf numFmtId="41" fontId="4" fillId="0" borderId="1" xfId="0" applyNumberFormat="1" applyFont="1" applyFill="1" applyBorder="1"/>
    <xf numFmtId="41" fontId="5" fillId="3" borderId="0" xfId="1" applyNumberFormat="1" applyFont="1" applyFill="1" applyAlignment="1">
      <alignment horizontal="center"/>
    </xf>
    <xf numFmtId="41" fontId="4" fillId="0" borderId="0" xfId="1" quotePrefix="1" applyNumberFormat="1" applyFont="1" applyAlignment="1">
      <alignment horizontal="center"/>
    </xf>
    <xf numFmtId="41" fontId="5" fillId="0" borderId="0" xfId="1" applyNumberFormat="1" applyFont="1" applyFill="1" applyAlignment="1">
      <alignment horizontal="right"/>
    </xf>
    <xf numFmtId="41" fontId="5" fillId="0" borderId="0" xfId="1" quotePrefix="1" applyNumberFormat="1" applyFont="1" applyAlignment="1">
      <alignment horizontal="right"/>
    </xf>
    <xf numFmtId="41" fontId="10" fillId="0" borderId="0" xfId="0" applyNumberFormat="1" applyFont="1" applyFill="1"/>
    <xf numFmtId="41" fontId="5" fillId="0" borderId="0" xfId="0" applyNumberFormat="1" applyFont="1" applyFill="1" applyBorder="1"/>
    <xf numFmtId="41" fontId="5" fillId="0" borderId="0" xfId="1" applyNumberFormat="1" applyFont="1" applyAlignment="1">
      <alignment horizontal="right"/>
    </xf>
    <xf numFmtId="41" fontId="10" fillId="0" borderId="1" xfId="0" applyNumberFormat="1" applyFont="1" applyFill="1" applyBorder="1"/>
    <xf numFmtId="41" fontId="5" fillId="0" borderId="0" xfId="1" applyNumberFormat="1" applyFont="1" applyFill="1"/>
    <xf numFmtId="41" fontId="5" fillId="0" borderId="1" xfId="1" applyNumberFormat="1" applyFont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  <xf numFmtId="41" fontId="5" fillId="0" borderId="0" xfId="1" applyNumberFormat="1" applyFont="1"/>
    <xf numFmtId="41" fontId="5" fillId="0" borderId="0" xfId="1" applyNumberFormat="1" applyFont="1" applyFill="1" applyBorder="1"/>
    <xf numFmtId="41" fontId="5" fillId="0" borderId="1" xfId="1" applyNumberFormat="1" applyFont="1" applyFill="1" applyBorder="1"/>
    <xf numFmtId="41" fontId="5" fillId="0" borderId="1" xfId="1" applyNumberFormat="1" applyFont="1" applyBorder="1"/>
    <xf numFmtId="41" fontId="4" fillId="0" borderId="1" xfId="1" applyNumberFormat="1" applyFont="1" applyFill="1" applyBorder="1" applyAlignment="1">
      <alignment horizontal="right"/>
    </xf>
    <xf numFmtId="41" fontId="5" fillId="0" borderId="0" xfId="1" applyNumberFormat="1" applyFont="1" applyBorder="1"/>
    <xf numFmtId="41" fontId="5" fillId="0" borderId="0" xfId="1" applyNumberFormat="1" applyFont="1" applyBorder="1" applyAlignment="1">
      <alignment horizontal="right"/>
    </xf>
    <xf numFmtId="41" fontId="5" fillId="0" borderId="2" xfId="1" applyNumberFormat="1" applyFont="1" applyFill="1" applyBorder="1"/>
    <xf numFmtId="41" fontId="4" fillId="0" borderId="1" xfId="1" applyNumberFormat="1" applyFont="1" applyBorder="1" applyAlignment="1">
      <alignment horizontal="right"/>
    </xf>
    <xf numFmtId="41" fontId="10" fillId="0" borderId="1" xfId="0" applyNumberFormat="1" applyFont="1" applyBorder="1"/>
    <xf numFmtId="41" fontId="4" fillId="0" borderId="1" xfId="1" applyNumberFormat="1" applyFont="1" applyFill="1" applyBorder="1"/>
    <xf numFmtId="41" fontId="4" fillId="0" borderId="0" xfId="1" applyNumberFormat="1" applyFont="1" applyFill="1" applyBorder="1"/>
    <xf numFmtId="41" fontId="5" fillId="2" borderId="1" xfId="1" applyNumberFormat="1" applyFont="1" applyFill="1" applyBorder="1"/>
    <xf numFmtId="41" fontId="4" fillId="0" borderId="3" xfId="1" applyNumberFormat="1" applyFont="1" applyFill="1" applyBorder="1"/>
    <xf numFmtId="41" fontId="4" fillId="0" borderId="4" xfId="1" applyNumberFormat="1" applyFont="1" applyFill="1" applyBorder="1"/>
    <xf numFmtId="0" fontId="6" fillId="0" borderId="0" xfId="0" applyFont="1" applyAlignment="1">
      <alignment horizontal="center"/>
    </xf>
    <xf numFmtId="43" fontId="10" fillId="0" borderId="0" xfId="0" applyNumberFormat="1" applyFont="1"/>
    <xf numFmtId="0" fontId="3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 applyAlignment="1"/>
    <xf numFmtId="0" fontId="11" fillId="0" borderId="8" xfId="0" applyFont="1" applyBorder="1" applyAlignment="1"/>
    <xf numFmtId="0" fontId="11" fillId="0" borderId="0" xfId="0" applyFont="1" applyBorder="1" applyAlignment="1"/>
    <xf numFmtId="0" fontId="0" fillId="0" borderId="8" xfId="0" applyBorder="1"/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0" fillId="0" borderId="10" xfId="0" applyBorder="1"/>
    <xf numFmtId="0" fontId="4" fillId="0" borderId="0" xfId="0" applyFont="1" applyAlignment="1">
      <alignment horizontal="center" wrapText="1"/>
    </xf>
    <xf numFmtId="0" fontId="5" fillId="3" borderId="0" xfId="0" applyFont="1" applyFill="1" applyAlignment="1">
      <alignment wrapText="1"/>
    </xf>
    <xf numFmtId="17" fontId="4" fillId="0" borderId="0" xfId="0" quotePrefix="1" applyNumberFormat="1" applyFont="1" applyAlignment="1">
      <alignment horizontal="center" wrapText="1"/>
    </xf>
    <xf numFmtId="0" fontId="45" fillId="0" borderId="0" xfId="0" applyFont="1" applyAlignment="1"/>
    <xf numFmtId="0" fontId="46" fillId="0" borderId="0" xfId="0" applyFont="1" applyAlignment="1"/>
    <xf numFmtId="0" fontId="46" fillId="0" borderId="0" xfId="0" applyFont="1" applyAlignment="1">
      <alignment horizontal="center"/>
    </xf>
    <xf numFmtId="43" fontId="10" fillId="0" borderId="0" xfId="1" applyFont="1"/>
    <xf numFmtId="0" fontId="0" fillId="0" borderId="0" xfId="0"/>
    <xf numFmtId="164" fontId="10" fillId="0" borderId="0" xfId="1" applyNumberFormat="1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167" fontId="0" fillId="4" borderId="9" xfId="1" applyNumberFormat="1" applyFont="1" applyFill="1" applyBorder="1" applyAlignment="1">
      <alignment horizontal="center"/>
    </xf>
    <xf numFmtId="167" fontId="0" fillId="0" borderId="9" xfId="1" applyNumberFormat="1" applyFont="1" applyFill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43" fontId="2" fillId="0" borderId="12" xfId="1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6" fontId="46" fillId="0" borderId="0" xfId="0" applyNumberFormat="1" applyFont="1" applyAlignment="1">
      <alignment horizontal="center"/>
    </xf>
    <xf numFmtId="0" fontId="4" fillId="0" borderId="0" xfId="0" applyFont="1" applyAlignment="1"/>
  </cellXfs>
  <cellStyles count="4798">
    <cellStyle name="20% - Accent1 10" xfId="3"/>
    <cellStyle name="20% - Accent1 11" xfId="4"/>
    <cellStyle name="20% - Accent1 12" xfId="5"/>
    <cellStyle name="20% - Accent1 13" xfId="6"/>
    <cellStyle name="20% - Accent1 14" xfId="7"/>
    <cellStyle name="20% - Accent1 15" xfId="8"/>
    <cellStyle name="20% - Accent1 16" xfId="9"/>
    <cellStyle name="20% - Accent1 17" xfId="10"/>
    <cellStyle name="20% - Accent1 18" xfId="11"/>
    <cellStyle name="20% - Accent1 19" xfId="12"/>
    <cellStyle name="20% - Accent1 2" xfId="13"/>
    <cellStyle name="20% - Accent1 20" xfId="14"/>
    <cellStyle name="20% - Accent1 21" xfId="15"/>
    <cellStyle name="20% - Accent1 22" xfId="16"/>
    <cellStyle name="20% - Accent1 23" xfId="17"/>
    <cellStyle name="20% - Accent1 23 10" xfId="2922"/>
    <cellStyle name="20% - Accent1 23 11" xfId="2921"/>
    <cellStyle name="20% - Accent1 23 12" xfId="2920"/>
    <cellStyle name="20% - Accent1 23 13" xfId="2919"/>
    <cellStyle name="20% - Accent1 23 14" xfId="2918"/>
    <cellStyle name="20% - Accent1 23 2" xfId="2917"/>
    <cellStyle name="20% - Accent1 23 3" xfId="2916"/>
    <cellStyle name="20% - Accent1 23 4" xfId="2915"/>
    <cellStyle name="20% - Accent1 23 5" xfId="2914"/>
    <cellStyle name="20% - Accent1 23 6" xfId="2913"/>
    <cellStyle name="20% - Accent1 23 7" xfId="2912"/>
    <cellStyle name="20% - Accent1 23 8" xfId="2911"/>
    <cellStyle name="20% - Accent1 23 9" xfId="2910"/>
    <cellStyle name="20% - Accent1 24" xfId="18"/>
    <cellStyle name="20% - Accent1 24 10" xfId="2909"/>
    <cellStyle name="20% - Accent1 24 11" xfId="2908"/>
    <cellStyle name="20% - Accent1 24 12" xfId="2907"/>
    <cellStyle name="20% - Accent1 24 13" xfId="2906"/>
    <cellStyle name="20% - Accent1 24 14" xfId="2905"/>
    <cellStyle name="20% - Accent1 24 2" xfId="2904"/>
    <cellStyle name="20% - Accent1 24 3" xfId="2903"/>
    <cellStyle name="20% - Accent1 24 4" xfId="2902"/>
    <cellStyle name="20% - Accent1 24 5" xfId="2901"/>
    <cellStyle name="20% - Accent1 24 6" xfId="2900"/>
    <cellStyle name="20% - Accent1 24 7" xfId="2899"/>
    <cellStyle name="20% - Accent1 24 8" xfId="2898"/>
    <cellStyle name="20% - Accent1 24 9" xfId="2897"/>
    <cellStyle name="20% - Accent1 25" xfId="19"/>
    <cellStyle name="20% - Accent1 26" xfId="20"/>
    <cellStyle name="20% - Accent1 27" xfId="21"/>
    <cellStyle name="20% - Accent1 28" xfId="22"/>
    <cellStyle name="20% - Accent1 29" xfId="23"/>
    <cellStyle name="20% - Accent1 3" xfId="24"/>
    <cellStyle name="20% - Accent1 30" xfId="25"/>
    <cellStyle name="20% - Accent1 31" xfId="2896"/>
    <cellStyle name="20% - Accent1 32" xfId="2895"/>
    <cellStyle name="20% - Accent1 33" xfId="2894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 10" xfId="32"/>
    <cellStyle name="20% - Accent2 11" xfId="33"/>
    <cellStyle name="20% - Accent2 12" xfId="34"/>
    <cellStyle name="20% - Accent2 13" xfId="35"/>
    <cellStyle name="20% - Accent2 14" xfId="36"/>
    <cellStyle name="20% - Accent2 15" xfId="37"/>
    <cellStyle name="20% - Accent2 16" xfId="38"/>
    <cellStyle name="20% - Accent2 17" xfId="39"/>
    <cellStyle name="20% - Accent2 18" xfId="40"/>
    <cellStyle name="20% - Accent2 19" xfId="41"/>
    <cellStyle name="20% - Accent2 2" xfId="42"/>
    <cellStyle name="20% - Accent2 20" xfId="43"/>
    <cellStyle name="20% - Accent2 21" xfId="44"/>
    <cellStyle name="20% - Accent2 22" xfId="45"/>
    <cellStyle name="20% - Accent2 23" xfId="46"/>
    <cellStyle name="20% - Accent2 23 10" xfId="2893"/>
    <cellStyle name="20% - Accent2 23 11" xfId="2892"/>
    <cellStyle name="20% - Accent2 23 12" xfId="2891"/>
    <cellStyle name="20% - Accent2 23 13" xfId="2890"/>
    <cellStyle name="20% - Accent2 23 14" xfId="2889"/>
    <cellStyle name="20% - Accent2 23 2" xfId="2888"/>
    <cellStyle name="20% - Accent2 23 3" xfId="2887"/>
    <cellStyle name="20% - Accent2 23 4" xfId="2886"/>
    <cellStyle name="20% - Accent2 23 5" xfId="2885"/>
    <cellStyle name="20% - Accent2 23 6" xfId="2884"/>
    <cellStyle name="20% - Accent2 23 7" xfId="2883"/>
    <cellStyle name="20% - Accent2 23 8" xfId="2882"/>
    <cellStyle name="20% - Accent2 23 9" xfId="2881"/>
    <cellStyle name="20% - Accent2 24" xfId="47"/>
    <cellStyle name="20% - Accent2 24 10" xfId="2880"/>
    <cellStyle name="20% - Accent2 24 11" xfId="2879"/>
    <cellStyle name="20% - Accent2 24 12" xfId="2878"/>
    <cellStyle name="20% - Accent2 24 13" xfId="2877"/>
    <cellStyle name="20% - Accent2 24 14" xfId="2876"/>
    <cellStyle name="20% - Accent2 24 2" xfId="2875"/>
    <cellStyle name="20% - Accent2 24 3" xfId="2874"/>
    <cellStyle name="20% - Accent2 24 4" xfId="2873"/>
    <cellStyle name="20% - Accent2 24 5" xfId="2872"/>
    <cellStyle name="20% - Accent2 24 6" xfId="2871"/>
    <cellStyle name="20% - Accent2 24 7" xfId="2870"/>
    <cellStyle name="20% - Accent2 24 8" xfId="2869"/>
    <cellStyle name="20% - Accent2 24 9" xfId="2868"/>
    <cellStyle name="20% - Accent2 25" xfId="48"/>
    <cellStyle name="20% - Accent2 26" xfId="49"/>
    <cellStyle name="20% - Accent2 27" xfId="50"/>
    <cellStyle name="20% - Accent2 28" xfId="51"/>
    <cellStyle name="20% - Accent2 29" xfId="52"/>
    <cellStyle name="20% - Accent2 3" xfId="53"/>
    <cellStyle name="20% - Accent2 30" xfId="54"/>
    <cellStyle name="20% - Accent2 31" xfId="2867"/>
    <cellStyle name="20% - Accent2 32" xfId="2866"/>
    <cellStyle name="20% - Accent2 33" xfId="2865"/>
    <cellStyle name="20% - Accent2 4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9" xfId="70"/>
    <cellStyle name="20% - Accent3 2" xfId="71"/>
    <cellStyle name="20% - Accent3 20" xfId="72"/>
    <cellStyle name="20% - Accent3 21" xfId="73"/>
    <cellStyle name="20% - Accent3 22" xfId="74"/>
    <cellStyle name="20% - Accent3 23" xfId="75"/>
    <cellStyle name="20% - Accent3 23 10" xfId="2864"/>
    <cellStyle name="20% - Accent3 23 11" xfId="2863"/>
    <cellStyle name="20% - Accent3 23 12" xfId="2862"/>
    <cellStyle name="20% - Accent3 23 13" xfId="2861"/>
    <cellStyle name="20% - Accent3 23 14" xfId="2860"/>
    <cellStyle name="20% - Accent3 23 2" xfId="2859"/>
    <cellStyle name="20% - Accent3 23 3" xfId="2858"/>
    <cellStyle name="20% - Accent3 23 4" xfId="2857"/>
    <cellStyle name="20% - Accent3 23 5" xfId="2856"/>
    <cellStyle name="20% - Accent3 23 6" xfId="2855"/>
    <cellStyle name="20% - Accent3 23 7" xfId="2854"/>
    <cellStyle name="20% - Accent3 23 8" xfId="2853"/>
    <cellStyle name="20% - Accent3 23 9" xfId="2852"/>
    <cellStyle name="20% - Accent3 24" xfId="76"/>
    <cellStyle name="20% - Accent3 24 10" xfId="2851"/>
    <cellStyle name="20% - Accent3 24 11" xfId="2850"/>
    <cellStyle name="20% - Accent3 24 12" xfId="2849"/>
    <cellStyle name="20% - Accent3 24 13" xfId="2848"/>
    <cellStyle name="20% - Accent3 24 14" xfId="2847"/>
    <cellStyle name="20% - Accent3 24 2" xfId="2846"/>
    <cellStyle name="20% - Accent3 24 3" xfId="2845"/>
    <cellStyle name="20% - Accent3 24 4" xfId="2844"/>
    <cellStyle name="20% - Accent3 24 5" xfId="2843"/>
    <cellStyle name="20% - Accent3 24 6" xfId="2842"/>
    <cellStyle name="20% - Accent3 24 7" xfId="2841"/>
    <cellStyle name="20% - Accent3 24 8" xfId="2840"/>
    <cellStyle name="20% - Accent3 24 9" xfId="2839"/>
    <cellStyle name="20% - Accent3 25" xfId="77"/>
    <cellStyle name="20% - Accent3 26" xfId="78"/>
    <cellStyle name="20% - Accent3 27" xfId="79"/>
    <cellStyle name="20% - Accent3 28" xfId="80"/>
    <cellStyle name="20% - Accent3 29" xfId="81"/>
    <cellStyle name="20% - Accent3 3" xfId="82"/>
    <cellStyle name="20% - Accent3 30" xfId="83"/>
    <cellStyle name="20% - Accent3 31" xfId="2838"/>
    <cellStyle name="20% - Accent3 32" xfId="2837"/>
    <cellStyle name="20% - Accent3 33" xfId="2836"/>
    <cellStyle name="20% - Accent3 4" xfId="84"/>
    <cellStyle name="20% - Accent3 5" xfId="85"/>
    <cellStyle name="20% - Accent3 6" xfId="86"/>
    <cellStyle name="20% - Accent3 7" xfId="87"/>
    <cellStyle name="20% - Accent3 8" xfId="88"/>
    <cellStyle name="20% - Accent3 9" xfId="89"/>
    <cellStyle name="20% - Accent4 10" xfId="90"/>
    <cellStyle name="20% - Accent4 11" xfId="91"/>
    <cellStyle name="20% - Accent4 12" xfId="92"/>
    <cellStyle name="20% - Accent4 13" xfId="93"/>
    <cellStyle name="20% - Accent4 14" xfId="94"/>
    <cellStyle name="20% - Accent4 15" xfId="95"/>
    <cellStyle name="20% - Accent4 16" xfId="96"/>
    <cellStyle name="20% - Accent4 17" xfId="97"/>
    <cellStyle name="20% - Accent4 18" xfId="98"/>
    <cellStyle name="20% - Accent4 19" xfId="99"/>
    <cellStyle name="20% - Accent4 2" xfId="100"/>
    <cellStyle name="20% - Accent4 20" xfId="101"/>
    <cellStyle name="20% - Accent4 21" xfId="102"/>
    <cellStyle name="20% - Accent4 22" xfId="103"/>
    <cellStyle name="20% - Accent4 23" xfId="104"/>
    <cellStyle name="20% - Accent4 23 10" xfId="2835"/>
    <cellStyle name="20% - Accent4 23 11" xfId="2834"/>
    <cellStyle name="20% - Accent4 23 12" xfId="2833"/>
    <cellStyle name="20% - Accent4 23 13" xfId="2832"/>
    <cellStyle name="20% - Accent4 23 14" xfId="2831"/>
    <cellStyle name="20% - Accent4 23 2" xfId="2830"/>
    <cellStyle name="20% - Accent4 23 3" xfId="2829"/>
    <cellStyle name="20% - Accent4 23 4" xfId="2828"/>
    <cellStyle name="20% - Accent4 23 5" xfId="2827"/>
    <cellStyle name="20% - Accent4 23 6" xfId="2826"/>
    <cellStyle name="20% - Accent4 23 7" xfId="2825"/>
    <cellStyle name="20% - Accent4 23 8" xfId="2824"/>
    <cellStyle name="20% - Accent4 23 9" xfId="2823"/>
    <cellStyle name="20% - Accent4 24" xfId="105"/>
    <cellStyle name="20% - Accent4 24 10" xfId="2822"/>
    <cellStyle name="20% - Accent4 24 11" xfId="2821"/>
    <cellStyle name="20% - Accent4 24 12" xfId="2820"/>
    <cellStyle name="20% - Accent4 24 13" xfId="2819"/>
    <cellStyle name="20% - Accent4 24 14" xfId="2818"/>
    <cellStyle name="20% - Accent4 24 2" xfId="2817"/>
    <cellStyle name="20% - Accent4 24 3" xfId="2816"/>
    <cellStyle name="20% - Accent4 24 4" xfId="2815"/>
    <cellStyle name="20% - Accent4 24 5" xfId="2814"/>
    <cellStyle name="20% - Accent4 24 6" xfId="2813"/>
    <cellStyle name="20% - Accent4 24 7" xfId="2812"/>
    <cellStyle name="20% - Accent4 24 8" xfId="2811"/>
    <cellStyle name="20% - Accent4 24 9" xfId="2810"/>
    <cellStyle name="20% - Accent4 25" xfId="106"/>
    <cellStyle name="20% - Accent4 26" xfId="107"/>
    <cellStyle name="20% - Accent4 27" xfId="108"/>
    <cellStyle name="20% - Accent4 28" xfId="109"/>
    <cellStyle name="20% - Accent4 29" xfId="110"/>
    <cellStyle name="20% - Accent4 3" xfId="111"/>
    <cellStyle name="20% - Accent4 30" xfId="112"/>
    <cellStyle name="20% - Accent4 31" xfId="2809"/>
    <cellStyle name="20% - Accent4 32" xfId="2808"/>
    <cellStyle name="20% - Accent4 33" xfId="2807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5 10" xfId="119"/>
    <cellStyle name="20% - Accent5 11" xfId="120"/>
    <cellStyle name="20% - Accent5 12" xfId="121"/>
    <cellStyle name="20% - Accent5 13" xfId="122"/>
    <cellStyle name="20% - Accent5 14" xfId="123"/>
    <cellStyle name="20% - Accent5 15" xfId="124"/>
    <cellStyle name="20% - Accent5 16" xfId="125"/>
    <cellStyle name="20% - Accent5 17" xfId="126"/>
    <cellStyle name="20% - Accent5 18" xfId="127"/>
    <cellStyle name="20% - Accent5 19" xfId="128"/>
    <cellStyle name="20% - Accent5 2" xfId="129"/>
    <cellStyle name="20% - Accent5 20" xfId="130"/>
    <cellStyle name="20% - Accent5 21" xfId="131"/>
    <cellStyle name="20% - Accent5 22" xfId="132"/>
    <cellStyle name="20% - Accent5 23" xfId="133"/>
    <cellStyle name="20% - Accent5 23 10" xfId="2806"/>
    <cellStyle name="20% - Accent5 23 11" xfId="2805"/>
    <cellStyle name="20% - Accent5 23 12" xfId="2804"/>
    <cellStyle name="20% - Accent5 23 13" xfId="2803"/>
    <cellStyle name="20% - Accent5 23 14" xfId="2802"/>
    <cellStyle name="20% - Accent5 23 2" xfId="2801"/>
    <cellStyle name="20% - Accent5 23 3" xfId="2800"/>
    <cellStyle name="20% - Accent5 23 4" xfId="2799"/>
    <cellStyle name="20% - Accent5 23 5" xfId="2798"/>
    <cellStyle name="20% - Accent5 23 6" xfId="2797"/>
    <cellStyle name="20% - Accent5 23 7" xfId="2796"/>
    <cellStyle name="20% - Accent5 23 8" xfId="2795"/>
    <cellStyle name="20% - Accent5 23 9" xfId="2794"/>
    <cellStyle name="20% - Accent5 24" xfId="134"/>
    <cellStyle name="20% - Accent5 24 10" xfId="2793"/>
    <cellStyle name="20% - Accent5 24 11" xfId="2792"/>
    <cellStyle name="20% - Accent5 24 12" xfId="2791"/>
    <cellStyle name="20% - Accent5 24 13" xfId="1507"/>
    <cellStyle name="20% - Accent5 24 14" xfId="1523"/>
    <cellStyle name="20% - Accent5 24 2" xfId="2790"/>
    <cellStyle name="20% - Accent5 24 3" xfId="2789"/>
    <cellStyle name="20% - Accent5 24 4" xfId="2788"/>
    <cellStyle name="20% - Accent5 24 5" xfId="2787"/>
    <cellStyle name="20% - Accent5 24 6" xfId="2786"/>
    <cellStyle name="20% - Accent5 24 7" xfId="2785"/>
    <cellStyle name="20% - Accent5 24 8" xfId="2784"/>
    <cellStyle name="20% - Accent5 24 9" xfId="2783"/>
    <cellStyle name="20% - Accent5 25" xfId="135"/>
    <cellStyle name="20% - Accent5 26" xfId="136"/>
    <cellStyle name="20% - Accent5 27" xfId="137"/>
    <cellStyle name="20% - Accent5 28" xfId="138"/>
    <cellStyle name="20% - Accent5 29" xfId="139"/>
    <cellStyle name="20% - Accent5 3" xfId="140"/>
    <cellStyle name="20% - Accent5 30" xfId="141"/>
    <cellStyle name="20% - Accent5 31" xfId="2782"/>
    <cellStyle name="20% - Accent5 32" xfId="2781"/>
    <cellStyle name="20% - Accent5 33" xfId="2780"/>
    <cellStyle name="20% - Accent5 4" xfId="142"/>
    <cellStyle name="20% - Accent5 5" xfId="143"/>
    <cellStyle name="20% - Accent5 6" xfId="144"/>
    <cellStyle name="20% - Accent5 7" xfId="145"/>
    <cellStyle name="20% - Accent5 8" xfId="146"/>
    <cellStyle name="20% - Accent5 9" xfId="147"/>
    <cellStyle name="20% - Accent6 10" xfId="148"/>
    <cellStyle name="20% - Accent6 11" xfId="149"/>
    <cellStyle name="20% - Accent6 12" xfId="150"/>
    <cellStyle name="20% - Accent6 13" xfId="151"/>
    <cellStyle name="20% - Accent6 14" xfId="152"/>
    <cellStyle name="20% - Accent6 15" xfId="153"/>
    <cellStyle name="20% - Accent6 16" xfId="154"/>
    <cellStyle name="20% - Accent6 17" xfId="155"/>
    <cellStyle name="20% - Accent6 18" xfId="156"/>
    <cellStyle name="20% - Accent6 19" xfId="157"/>
    <cellStyle name="20% - Accent6 2" xfId="158"/>
    <cellStyle name="20% - Accent6 20" xfId="159"/>
    <cellStyle name="20% - Accent6 21" xfId="160"/>
    <cellStyle name="20% - Accent6 22" xfId="161"/>
    <cellStyle name="20% - Accent6 23" xfId="162"/>
    <cellStyle name="20% - Accent6 23 10" xfId="2779"/>
    <cellStyle name="20% - Accent6 23 11" xfId="2778"/>
    <cellStyle name="20% - Accent6 23 12" xfId="2777"/>
    <cellStyle name="20% - Accent6 23 13" xfId="2776"/>
    <cellStyle name="20% - Accent6 23 14" xfId="2775"/>
    <cellStyle name="20% - Accent6 23 2" xfId="2774"/>
    <cellStyle name="20% - Accent6 23 3" xfId="2773"/>
    <cellStyle name="20% - Accent6 23 4" xfId="2772"/>
    <cellStyle name="20% - Accent6 23 5" xfId="2771"/>
    <cellStyle name="20% - Accent6 23 6" xfId="2770"/>
    <cellStyle name="20% - Accent6 23 7" xfId="2769"/>
    <cellStyle name="20% - Accent6 23 8" xfId="2768"/>
    <cellStyle name="20% - Accent6 23 9" xfId="2767"/>
    <cellStyle name="20% - Accent6 24" xfId="163"/>
    <cellStyle name="20% - Accent6 24 10" xfId="2766"/>
    <cellStyle name="20% - Accent6 24 11" xfId="2765"/>
    <cellStyle name="20% - Accent6 24 12" xfId="2764"/>
    <cellStyle name="20% - Accent6 24 13" xfId="2763"/>
    <cellStyle name="20% - Accent6 24 14" xfId="2762"/>
    <cellStyle name="20% - Accent6 24 2" xfId="2761"/>
    <cellStyle name="20% - Accent6 24 3" xfId="2760"/>
    <cellStyle name="20% - Accent6 24 4" xfId="2759"/>
    <cellStyle name="20% - Accent6 24 5" xfId="2758"/>
    <cellStyle name="20% - Accent6 24 6" xfId="2757"/>
    <cellStyle name="20% - Accent6 24 7" xfId="2756"/>
    <cellStyle name="20% - Accent6 24 8" xfId="2755"/>
    <cellStyle name="20% - Accent6 24 9" xfId="2754"/>
    <cellStyle name="20% - Accent6 25" xfId="164"/>
    <cellStyle name="20% - Accent6 26" xfId="165"/>
    <cellStyle name="20% - Accent6 27" xfId="166"/>
    <cellStyle name="20% - Accent6 28" xfId="167"/>
    <cellStyle name="20% - Accent6 29" xfId="168"/>
    <cellStyle name="20% - Accent6 3" xfId="169"/>
    <cellStyle name="20% - Accent6 30" xfId="170"/>
    <cellStyle name="20% - Accent6 31" xfId="2753"/>
    <cellStyle name="20% - Accent6 32" xfId="2752"/>
    <cellStyle name="20% - Accent6 33" xfId="2751"/>
    <cellStyle name="20% - Accent6 4" xfId="171"/>
    <cellStyle name="20% - Accent6 5" xfId="172"/>
    <cellStyle name="20% - Accent6 6" xfId="173"/>
    <cellStyle name="20% - Accent6 7" xfId="174"/>
    <cellStyle name="20% - Accent6 8" xfId="175"/>
    <cellStyle name="20% - Accent6 9" xfId="176"/>
    <cellStyle name="40% - Accent1 10" xfId="177"/>
    <cellStyle name="40% - Accent1 11" xfId="178"/>
    <cellStyle name="40% - Accent1 12" xfId="179"/>
    <cellStyle name="40% - Accent1 13" xfId="180"/>
    <cellStyle name="40% - Accent1 14" xfId="181"/>
    <cellStyle name="40% - Accent1 15" xfId="182"/>
    <cellStyle name="40% - Accent1 16" xfId="183"/>
    <cellStyle name="40% - Accent1 17" xfId="184"/>
    <cellStyle name="40% - Accent1 18" xfId="185"/>
    <cellStyle name="40% - Accent1 19" xfId="186"/>
    <cellStyle name="40% - Accent1 2" xfId="187"/>
    <cellStyle name="40% - Accent1 20" xfId="188"/>
    <cellStyle name="40% - Accent1 21" xfId="189"/>
    <cellStyle name="40% - Accent1 22" xfId="190"/>
    <cellStyle name="40% - Accent1 23" xfId="191"/>
    <cellStyle name="40% - Accent1 23 10" xfId="2750"/>
    <cellStyle name="40% - Accent1 23 11" xfId="2749"/>
    <cellStyle name="40% - Accent1 23 12" xfId="2748"/>
    <cellStyle name="40% - Accent1 23 13" xfId="2747"/>
    <cellStyle name="40% - Accent1 23 14" xfId="2746"/>
    <cellStyle name="40% - Accent1 23 2" xfId="2745"/>
    <cellStyle name="40% - Accent1 23 3" xfId="2744"/>
    <cellStyle name="40% - Accent1 23 4" xfId="2743"/>
    <cellStyle name="40% - Accent1 23 5" xfId="2742"/>
    <cellStyle name="40% - Accent1 23 6" xfId="2741"/>
    <cellStyle name="40% - Accent1 23 7" xfId="2740"/>
    <cellStyle name="40% - Accent1 23 8" xfId="2739"/>
    <cellStyle name="40% - Accent1 23 9" xfId="2738"/>
    <cellStyle name="40% - Accent1 24" xfId="192"/>
    <cellStyle name="40% - Accent1 24 10" xfId="2737"/>
    <cellStyle name="40% - Accent1 24 11" xfId="2736"/>
    <cellStyle name="40% - Accent1 24 12" xfId="2735"/>
    <cellStyle name="40% - Accent1 24 13" xfId="2734"/>
    <cellStyle name="40% - Accent1 24 14" xfId="2733"/>
    <cellStyle name="40% - Accent1 24 2" xfId="2732"/>
    <cellStyle name="40% - Accent1 24 3" xfId="2731"/>
    <cellStyle name="40% - Accent1 24 4" xfId="2730"/>
    <cellStyle name="40% - Accent1 24 5" xfId="2729"/>
    <cellStyle name="40% - Accent1 24 6" xfId="2728"/>
    <cellStyle name="40% - Accent1 24 7" xfId="2727"/>
    <cellStyle name="40% - Accent1 24 8" xfId="2726"/>
    <cellStyle name="40% - Accent1 24 9" xfId="2725"/>
    <cellStyle name="40% - Accent1 25" xfId="193"/>
    <cellStyle name="40% - Accent1 26" xfId="194"/>
    <cellStyle name="40% - Accent1 27" xfId="195"/>
    <cellStyle name="40% - Accent1 28" xfId="196"/>
    <cellStyle name="40% - Accent1 29" xfId="197"/>
    <cellStyle name="40% - Accent1 3" xfId="198"/>
    <cellStyle name="40% - Accent1 30" xfId="199"/>
    <cellStyle name="40% - Accent1 31" xfId="2724"/>
    <cellStyle name="40% - Accent1 32" xfId="2723"/>
    <cellStyle name="40% - Accent1 33" xfId="2722"/>
    <cellStyle name="40% - Accent1 4" xfId="200"/>
    <cellStyle name="40% - Accent1 5" xfId="201"/>
    <cellStyle name="40% - Accent1 6" xfId="202"/>
    <cellStyle name="40% - Accent1 7" xfId="203"/>
    <cellStyle name="40% - Accent1 8" xfId="204"/>
    <cellStyle name="40% - Accent1 9" xfId="205"/>
    <cellStyle name="40% - Accent2 10" xfId="206"/>
    <cellStyle name="40% - Accent2 11" xfId="207"/>
    <cellStyle name="40% - Accent2 12" xfId="208"/>
    <cellStyle name="40% - Accent2 13" xfId="209"/>
    <cellStyle name="40% - Accent2 14" xfId="210"/>
    <cellStyle name="40% - Accent2 15" xfId="211"/>
    <cellStyle name="40% - Accent2 16" xfId="212"/>
    <cellStyle name="40% - Accent2 17" xfId="213"/>
    <cellStyle name="40% - Accent2 18" xfId="214"/>
    <cellStyle name="40% - Accent2 19" xfId="215"/>
    <cellStyle name="40% - Accent2 2" xfId="216"/>
    <cellStyle name="40% - Accent2 20" xfId="217"/>
    <cellStyle name="40% - Accent2 21" xfId="218"/>
    <cellStyle name="40% - Accent2 22" xfId="219"/>
    <cellStyle name="40% - Accent2 23" xfId="220"/>
    <cellStyle name="40% - Accent2 23 10" xfId="2721"/>
    <cellStyle name="40% - Accent2 23 11" xfId="2720"/>
    <cellStyle name="40% - Accent2 23 12" xfId="2719"/>
    <cellStyle name="40% - Accent2 23 13" xfId="2718"/>
    <cellStyle name="40% - Accent2 23 14" xfId="2717"/>
    <cellStyle name="40% - Accent2 23 2" xfId="2716"/>
    <cellStyle name="40% - Accent2 23 3" xfId="2715"/>
    <cellStyle name="40% - Accent2 23 4" xfId="2714"/>
    <cellStyle name="40% - Accent2 23 5" xfId="2713"/>
    <cellStyle name="40% - Accent2 23 6" xfId="2712"/>
    <cellStyle name="40% - Accent2 23 7" xfId="2711"/>
    <cellStyle name="40% - Accent2 23 8" xfId="2710"/>
    <cellStyle name="40% - Accent2 23 9" xfId="2709"/>
    <cellStyle name="40% - Accent2 24" xfId="221"/>
    <cellStyle name="40% - Accent2 24 10" xfId="2708"/>
    <cellStyle name="40% - Accent2 24 11" xfId="2707"/>
    <cellStyle name="40% - Accent2 24 12" xfId="2706"/>
    <cellStyle name="40% - Accent2 24 13" xfId="2705"/>
    <cellStyle name="40% - Accent2 24 14" xfId="2704"/>
    <cellStyle name="40% - Accent2 24 2" xfId="2703"/>
    <cellStyle name="40% - Accent2 24 3" xfId="2702"/>
    <cellStyle name="40% - Accent2 24 4" xfId="2701"/>
    <cellStyle name="40% - Accent2 24 5" xfId="2700"/>
    <cellStyle name="40% - Accent2 24 6" xfId="2699"/>
    <cellStyle name="40% - Accent2 24 7" xfId="2698"/>
    <cellStyle name="40% - Accent2 24 8" xfId="2697"/>
    <cellStyle name="40% - Accent2 24 9" xfId="2696"/>
    <cellStyle name="40% - Accent2 25" xfId="222"/>
    <cellStyle name="40% - Accent2 26" xfId="223"/>
    <cellStyle name="40% - Accent2 27" xfId="224"/>
    <cellStyle name="40% - Accent2 28" xfId="225"/>
    <cellStyle name="40% - Accent2 29" xfId="226"/>
    <cellStyle name="40% - Accent2 3" xfId="227"/>
    <cellStyle name="40% - Accent2 30" xfId="228"/>
    <cellStyle name="40% - Accent2 31" xfId="2695"/>
    <cellStyle name="40% - Accent2 32" xfId="2694"/>
    <cellStyle name="40% - Accent2 33" xfId="2693"/>
    <cellStyle name="40% - Accent2 4" xfId="229"/>
    <cellStyle name="40% - Accent2 5" xfId="230"/>
    <cellStyle name="40% - Accent2 6" xfId="231"/>
    <cellStyle name="40% - Accent2 7" xfId="232"/>
    <cellStyle name="40% - Accent2 8" xfId="233"/>
    <cellStyle name="40% - Accent2 9" xfId="234"/>
    <cellStyle name="40% - Accent3 10" xfId="235"/>
    <cellStyle name="40% - Accent3 11" xfId="236"/>
    <cellStyle name="40% - Accent3 12" xfId="237"/>
    <cellStyle name="40% - Accent3 13" xfId="238"/>
    <cellStyle name="40% - Accent3 14" xfId="239"/>
    <cellStyle name="40% - Accent3 15" xfId="240"/>
    <cellStyle name="40% - Accent3 16" xfId="241"/>
    <cellStyle name="40% - Accent3 17" xfId="242"/>
    <cellStyle name="40% - Accent3 18" xfId="243"/>
    <cellStyle name="40% - Accent3 19" xfId="244"/>
    <cellStyle name="40% - Accent3 2" xfId="245"/>
    <cellStyle name="40% - Accent3 20" xfId="246"/>
    <cellStyle name="40% - Accent3 21" xfId="247"/>
    <cellStyle name="40% - Accent3 22" xfId="248"/>
    <cellStyle name="40% - Accent3 23" xfId="249"/>
    <cellStyle name="40% - Accent3 23 10" xfId="2692"/>
    <cellStyle name="40% - Accent3 23 11" xfId="2691"/>
    <cellStyle name="40% - Accent3 23 12" xfId="2690"/>
    <cellStyle name="40% - Accent3 23 13" xfId="2689"/>
    <cellStyle name="40% - Accent3 23 14" xfId="2688"/>
    <cellStyle name="40% - Accent3 23 2" xfId="2687"/>
    <cellStyle name="40% - Accent3 23 3" xfId="2686"/>
    <cellStyle name="40% - Accent3 23 4" xfId="2685"/>
    <cellStyle name="40% - Accent3 23 5" xfId="2684"/>
    <cellStyle name="40% - Accent3 23 6" xfId="2683"/>
    <cellStyle name="40% - Accent3 23 7" xfId="2682"/>
    <cellStyle name="40% - Accent3 23 8" xfId="2681"/>
    <cellStyle name="40% - Accent3 23 9" xfId="2680"/>
    <cellStyle name="40% - Accent3 24" xfId="250"/>
    <cellStyle name="40% - Accent3 24 10" xfId="2679"/>
    <cellStyle name="40% - Accent3 24 11" xfId="2678"/>
    <cellStyle name="40% - Accent3 24 12" xfId="2677"/>
    <cellStyle name="40% - Accent3 24 13" xfId="2676"/>
    <cellStyle name="40% - Accent3 24 14" xfId="2675"/>
    <cellStyle name="40% - Accent3 24 2" xfId="2674"/>
    <cellStyle name="40% - Accent3 24 3" xfId="2673"/>
    <cellStyle name="40% - Accent3 24 4" xfId="2672"/>
    <cellStyle name="40% - Accent3 24 5" xfId="2671"/>
    <cellStyle name="40% - Accent3 24 6" xfId="2670"/>
    <cellStyle name="40% - Accent3 24 7" xfId="2669"/>
    <cellStyle name="40% - Accent3 24 8" xfId="2668"/>
    <cellStyle name="40% - Accent3 24 9" xfId="2667"/>
    <cellStyle name="40% - Accent3 25" xfId="251"/>
    <cellStyle name="40% - Accent3 26" xfId="252"/>
    <cellStyle name="40% - Accent3 27" xfId="253"/>
    <cellStyle name="40% - Accent3 28" xfId="254"/>
    <cellStyle name="40% - Accent3 29" xfId="255"/>
    <cellStyle name="40% - Accent3 3" xfId="256"/>
    <cellStyle name="40% - Accent3 30" xfId="257"/>
    <cellStyle name="40% - Accent3 31" xfId="2666"/>
    <cellStyle name="40% - Accent3 32" xfId="2665"/>
    <cellStyle name="40% - Accent3 33" xfId="2664"/>
    <cellStyle name="40% - Accent3 4" xfId="258"/>
    <cellStyle name="40% - Accent3 5" xfId="259"/>
    <cellStyle name="40% - Accent3 6" xfId="260"/>
    <cellStyle name="40% - Accent3 7" xfId="261"/>
    <cellStyle name="40% - Accent3 8" xfId="262"/>
    <cellStyle name="40% - Accent3 9" xfId="263"/>
    <cellStyle name="40% - Accent4 10" xfId="264"/>
    <cellStyle name="40% - Accent4 11" xfId="265"/>
    <cellStyle name="40% - Accent4 12" xfId="266"/>
    <cellStyle name="40% - Accent4 13" xfId="267"/>
    <cellStyle name="40% - Accent4 14" xfId="268"/>
    <cellStyle name="40% - Accent4 15" xfId="269"/>
    <cellStyle name="40% - Accent4 16" xfId="270"/>
    <cellStyle name="40% - Accent4 17" xfId="271"/>
    <cellStyle name="40% - Accent4 18" xfId="272"/>
    <cellStyle name="40% - Accent4 19" xfId="273"/>
    <cellStyle name="40% - Accent4 2" xfId="274"/>
    <cellStyle name="40% - Accent4 20" xfId="275"/>
    <cellStyle name="40% - Accent4 21" xfId="276"/>
    <cellStyle name="40% - Accent4 22" xfId="277"/>
    <cellStyle name="40% - Accent4 23" xfId="278"/>
    <cellStyle name="40% - Accent4 23 10" xfId="2663"/>
    <cellStyle name="40% - Accent4 23 11" xfId="2662"/>
    <cellStyle name="40% - Accent4 23 12" xfId="2661"/>
    <cellStyle name="40% - Accent4 23 13" xfId="2660"/>
    <cellStyle name="40% - Accent4 23 14" xfId="2659"/>
    <cellStyle name="40% - Accent4 23 2" xfId="2658"/>
    <cellStyle name="40% - Accent4 23 3" xfId="2657"/>
    <cellStyle name="40% - Accent4 23 4" xfId="2656"/>
    <cellStyle name="40% - Accent4 23 5" xfId="2655"/>
    <cellStyle name="40% - Accent4 23 6" xfId="2654"/>
    <cellStyle name="40% - Accent4 23 7" xfId="2653"/>
    <cellStyle name="40% - Accent4 23 8" xfId="2652"/>
    <cellStyle name="40% - Accent4 23 9" xfId="2651"/>
    <cellStyle name="40% - Accent4 24" xfId="279"/>
    <cellStyle name="40% - Accent4 24 10" xfId="2650"/>
    <cellStyle name="40% - Accent4 24 11" xfId="2649"/>
    <cellStyle name="40% - Accent4 24 12" xfId="2648"/>
    <cellStyle name="40% - Accent4 24 13" xfId="2647"/>
    <cellStyle name="40% - Accent4 24 14" xfId="2646"/>
    <cellStyle name="40% - Accent4 24 2" xfId="2645"/>
    <cellStyle name="40% - Accent4 24 3" xfId="2644"/>
    <cellStyle name="40% - Accent4 24 4" xfId="2643"/>
    <cellStyle name="40% - Accent4 24 5" xfId="2642"/>
    <cellStyle name="40% - Accent4 24 6" xfId="2641"/>
    <cellStyle name="40% - Accent4 24 7" xfId="2640"/>
    <cellStyle name="40% - Accent4 24 8" xfId="2639"/>
    <cellStyle name="40% - Accent4 24 9" xfId="2638"/>
    <cellStyle name="40% - Accent4 25" xfId="280"/>
    <cellStyle name="40% - Accent4 26" xfId="281"/>
    <cellStyle name="40% - Accent4 27" xfId="282"/>
    <cellStyle name="40% - Accent4 28" xfId="283"/>
    <cellStyle name="40% - Accent4 29" xfId="284"/>
    <cellStyle name="40% - Accent4 3" xfId="285"/>
    <cellStyle name="40% - Accent4 30" xfId="286"/>
    <cellStyle name="40% - Accent4 31" xfId="2637"/>
    <cellStyle name="40% - Accent4 32" xfId="2636"/>
    <cellStyle name="40% - Accent4 33" xfId="2635"/>
    <cellStyle name="40% - Accent4 4" xfId="287"/>
    <cellStyle name="40% - Accent4 5" xfId="288"/>
    <cellStyle name="40% - Accent4 6" xfId="289"/>
    <cellStyle name="40% - Accent4 7" xfId="290"/>
    <cellStyle name="40% - Accent4 8" xfId="291"/>
    <cellStyle name="40% - Accent4 9" xfId="292"/>
    <cellStyle name="40% - Accent5 10" xfId="293"/>
    <cellStyle name="40% - Accent5 11" xfId="294"/>
    <cellStyle name="40% - Accent5 12" xfId="295"/>
    <cellStyle name="40% - Accent5 13" xfId="296"/>
    <cellStyle name="40% - Accent5 14" xfId="297"/>
    <cellStyle name="40% - Accent5 15" xfId="298"/>
    <cellStyle name="40% - Accent5 16" xfId="299"/>
    <cellStyle name="40% - Accent5 17" xfId="300"/>
    <cellStyle name="40% - Accent5 18" xfId="301"/>
    <cellStyle name="40% - Accent5 19" xfId="302"/>
    <cellStyle name="40% - Accent5 2" xfId="303"/>
    <cellStyle name="40% - Accent5 20" xfId="304"/>
    <cellStyle name="40% - Accent5 21" xfId="305"/>
    <cellStyle name="40% - Accent5 22" xfId="306"/>
    <cellStyle name="40% - Accent5 23" xfId="307"/>
    <cellStyle name="40% - Accent5 23 10" xfId="2634"/>
    <cellStyle name="40% - Accent5 23 11" xfId="2633"/>
    <cellStyle name="40% - Accent5 23 12" xfId="2632"/>
    <cellStyle name="40% - Accent5 23 13" xfId="2631"/>
    <cellStyle name="40% - Accent5 23 14" xfId="2630"/>
    <cellStyle name="40% - Accent5 23 2" xfId="2629"/>
    <cellStyle name="40% - Accent5 23 3" xfId="2628"/>
    <cellStyle name="40% - Accent5 23 4" xfId="2627"/>
    <cellStyle name="40% - Accent5 23 5" xfId="2626"/>
    <cellStyle name="40% - Accent5 23 6" xfId="2625"/>
    <cellStyle name="40% - Accent5 23 7" xfId="2624"/>
    <cellStyle name="40% - Accent5 23 8" xfId="2623"/>
    <cellStyle name="40% - Accent5 23 9" xfId="2622"/>
    <cellStyle name="40% - Accent5 24" xfId="308"/>
    <cellStyle name="40% - Accent5 24 10" xfId="2621"/>
    <cellStyle name="40% - Accent5 24 11" xfId="2620"/>
    <cellStyle name="40% - Accent5 24 12" xfId="2619"/>
    <cellStyle name="40% - Accent5 24 13" xfId="2618"/>
    <cellStyle name="40% - Accent5 24 14" xfId="2617"/>
    <cellStyle name="40% - Accent5 24 2" xfId="2616"/>
    <cellStyle name="40% - Accent5 24 3" xfId="2615"/>
    <cellStyle name="40% - Accent5 24 4" xfId="2614"/>
    <cellStyle name="40% - Accent5 24 5" xfId="2613"/>
    <cellStyle name="40% - Accent5 24 6" xfId="2612"/>
    <cellStyle name="40% - Accent5 24 7" xfId="2611"/>
    <cellStyle name="40% - Accent5 24 8" xfId="2610"/>
    <cellStyle name="40% - Accent5 24 9" xfId="2609"/>
    <cellStyle name="40% - Accent5 25" xfId="309"/>
    <cellStyle name="40% - Accent5 26" xfId="310"/>
    <cellStyle name="40% - Accent5 27" xfId="311"/>
    <cellStyle name="40% - Accent5 28" xfId="312"/>
    <cellStyle name="40% - Accent5 29" xfId="313"/>
    <cellStyle name="40% - Accent5 3" xfId="314"/>
    <cellStyle name="40% - Accent5 30" xfId="315"/>
    <cellStyle name="40% - Accent5 31" xfId="2608"/>
    <cellStyle name="40% - Accent5 32" xfId="2607"/>
    <cellStyle name="40% - Accent5 33" xfId="2606"/>
    <cellStyle name="40% - Accent5 4" xfId="316"/>
    <cellStyle name="40% - Accent5 5" xfId="317"/>
    <cellStyle name="40% - Accent5 6" xfId="318"/>
    <cellStyle name="40% - Accent5 7" xfId="319"/>
    <cellStyle name="40% - Accent5 8" xfId="320"/>
    <cellStyle name="40% - Accent5 9" xfId="321"/>
    <cellStyle name="40% - Accent6 10" xfId="322"/>
    <cellStyle name="40% - Accent6 11" xfId="323"/>
    <cellStyle name="40% - Accent6 12" xfId="324"/>
    <cellStyle name="40% - Accent6 13" xfId="325"/>
    <cellStyle name="40% - Accent6 14" xfId="326"/>
    <cellStyle name="40% - Accent6 15" xfId="327"/>
    <cellStyle name="40% - Accent6 16" xfId="328"/>
    <cellStyle name="40% - Accent6 17" xfId="329"/>
    <cellStyle name="40% - Accent6 18" xfId="330"/>
    <cellStyle name="40% - Accent6 19" xfId="331"/>
    <cellStyle name="40% - Accent6 2" xfId="332"/>
    <cellStyle name="40% - Accent6 20" xfId="333"/>
    <cellStyle name="40% - Accent6 21" xfId="334"/>
    <cellStyle name="40% - Accent6 22" xfId="335"/>
    <cellStyle name="40% - Accent6 23" xfId="336"/>
    <cellStyle name="40% - Accent6 23 10" xfId="2605"/>
    <cellStyle name="40% - Accent6 23 11" xfId="2604"/>
    <cellStyle name="40% - Accent6 23 12" xfId="2603"/>
    <cellStyle name="40% - Accent6 23 13" xfId="2602"/>
    <cellStyle name="40% - Accent6 23 14" xfId="2601"/>
    <cellStyle name="40% - Accent6 23 2" xfId="2600"/>
    <cellStyle name="40% - Accent6 23 3" xfId="2599"/>
    <cellStyle name="40% - Accent6 23 4" xfId="2598"/>
    <cellStyle name="40% - Accent6 23 5" xfId="2597"/>
    <cellStyle name="40% - Accent6 23 6" xfId="2596"/>
    <cellStyle name="40% - Accent6 23 7" xfId="2595"/>
    <cellStyle name="40% - Accent6 23 8" xfId="2594"/>
    <cellStyle name="40% - Accent6 23 9" xfId="2593"/>
    <cellStyle name="40% - Accent6 24" xfId="337"/>
    <cellStyle name="40% - Accent6 24 10" xfId="2592"/>
    <cellStyle name="40% - Accent6 24 11" xfId="2591"/>
    <cellStyle name="40% - Accent6 24 12" xfId="2590"/>
    <cellStyle name="40% - Accent6 24 13" xfId="2589"/>
    <cellStyle name="40% - Accent6 24 14" xfId="2588"/>
    <cellStyle name="40% - Accent6 24 2" xfId="2587"/>
    <cellStyle name="40% - Accent6 24 3" xfId="2586"/>
    <cellStyle name="40% - Accent6 24 4" xfId="2585"/>
    <cellStyle name="40% - Accent6 24 5" xfId="2584"/>
    <cellStyle name="40% - Accent6 24 6" xfId="2583"/>
    <cellStyle name="40% - Accent6 24 7" xfId="2582"/>
    <cellStyle name="40% - Accent6 24 8" xfId="2581"/>
    <cellStyle name="40% - Accent6 24 9" xfId="2580"/>
    <cellStyle name="40% - Accent6 25" xfId="338"/>
    <cellStyle name="40% - Accent6 26" xfId="339"/>
    <cellStyle name="40% - Accent6 27" xfId="340"/>
    <cellStyle name="40% - Accent6 28" xfId="341"/>
    <cellStyle name="40% - Accent6 29" xfId="342"/>
    <cellStyle name="40% - Accent6 3" xfId="343"/>
    <cellStyle name="40% - Accent6 30" xfId="344"/>
    <cellStyle name="40% - Accent6 31" xfId="2579"/>
    <cellStyle name="40% - Accent6 32" xfId="2578"/>
    <cellStyle name="40% - Accent6 33" xfId="2577"/>
    <cellStyle name="40% - Accent6 4" xfId="345"/>
    <cellStyle name="40% - Accent6 5" xfId="346"/>
    <cellStyle name="40% - Accent6 6" xfId="347"/>
    <cellStyle name="40% - Accent6 7" xfId="348"/>
    <cellStyle name="40% - Accent6 8" xfId="349"/>
    <cellStyle name="40% - Accent6 9" xfId="350"/>
    <cellStyle name="60% - Accent1 10" xfId="351"/>
    <cellStyle name="60% - Accent1 11" xfId="352"/>
    <cellStyle name="60% - Accent1 12" xfId="353"/>
    <cellStyle name="60% - Accent1 13" xfId="354"/>
    <cellStyle name="60% - Accent1 14" xfId="355"/>
    <cellStyle name="60% - Accent1 15" xfId="356"/>
    <cellStyle name="60% - Accent1 16" xfId="357"/>
    <cellStyle name="60% - Accent1 17" xfId="358"/>
    <cellStyle name="60% - Accent1 18" xfId="359"/>
    <cellStyle name="60% - Accent1 19" xfId="360"/>
    <cellStyle name="60% - Accent1 2" xfId="361"/>
    <cellStyle name="60% - Accent1 20" xfId="362"/>
    <cellStyle name="60% - Accent1 21" xfId="363"/>
    <cellStyle name="60% - Accent1 22" xfId="364"/>
    <cellStyle name="60% - Accent1 23" xfId="365"/>
    <cellStyle name="60% - Accent1 23 10" xfId="2576"/>
    <cellStyle name="60% - Accent1 23 11" xfId="2575"/>
    <cellStyle name="60% - Accent1 23 12" xfId="2574"/>
    <cellStyle name="60% - Accent1 23 13" xfId="2573"/>
    <cellStyle name="60% - Accent1 23 14" xfId="2572"/>
    <cellStyle name="60% - Accent1 23 2" xfId="2571"/>
    <cellStyle name="60% - Accent1 23 3" xfId="2570"/>
    <cellStyle name="60% - Accent1 23 4" xfId="2569"/>
    <cellStyle name="60% - Accent1 23 5" xfId="2568"/>
    <cellStyle name="60% - Accent1 23 6" xfId="2567"/>
    <cellStyle name="60% - Accent1 23 7" xfId="2566"/>
    <cellStyle name="60% - Accent1 23 8" xfId="2565"/>
    <cellStyle name="60% - Accent1 23 9" xfId="2564"/>
    <cellStyle name="60% - Accent1 24" xfId="366"/>
    <cellStyle name="60% - Accent1 24 10" xfId="2563"/>
    <cellStyle name="60% - Accent1 24 11" xfId="2562"/>
    <cellStyle name="60% - Accent1 24 12" xfId="2561"/>
    <cellStyle name="60% - Accent1 24 13" xfId="2560"/>
    <cellStyle name="60% - Accent1 24 14" xfId="2559"/>
    <cellStyle name="60% - Accent1 24 2" xfId="2558"/>
    <cellStyle name="60% - Accent1 24 3" xfId="2557"/>
    <cellStyle name="60% - Accent1 24 4" xfId="2556"/>
    <cellStyle name="60% - Accent1 24 5" xfId="2555"/>
    <cellStyle name="60% - Accent1 24 6" xfId="2554"/>
    <cellStyle name="60% - Accent1 24 7" xfId="2553"/>
    <cellStyle name="60% - Accent1 24 8" xfId="2552"/>
    <cellStyle name="60% - Accent1 24 9" xfId="2551"/>
    <cellStyle name="60% - Accent1 25" xfId="367"/>
    <cellStyle name="60% - Accent1 26" xfId="368"/>
    <cellStyle name="60% - Accent1 27" xfId="369"/>
    <cellStyle name="60% - Accent1 28" xfId="370"/>
    <cellStyle name="60% - Accent1 29" xfId="371"/>
    <cellStyle name="60% - Accent1 3" xfId="372"/>
    <cellStyle name="60% - Accent1 30" xfId="373"/>
    <cellStyle name="60% - Accent1 31" xfId="2550"/>
    <cellStyle name="60% - Accent1 32" xfId="2549"/>
    <cellStyle name="60% - Accent1 33" xfId="2548"/>
    <cellStyle name="60% - Accent1 4" xfId="374"/>
    <cellStyle name="60% - Accent1 5" xfId="375"/>
    <cellStyle name="60% - Accent1 6" xfId="376"/>
    <cellStyle name="60% - Accent1 7" xfId="377"/>
    <cellStyle name="60% - Accent1 8" xfId="378"/>
    <cellStyle name="60% - Accent1 9" xfId="379"/>
    <cellStyle name="60% - Accent2 10" xfId="380"/>
    <cellStyle name="60% - Accent2 11" xfId="381"/>
    <cellStyle name="60% - Accent2 12" xfId="382"/>
    <cellStyle name="60% - Accent2 13" xfId="383"/>
    <cellStyle name="60% - Accent2 14" xfId="384"/>
    <cellStyle name="60% - Accent2 15" xfId="385"/>
    <cellStyle name="60% - Accent2 16" xfId="386"/>
    <cellStyle name="60% - Accent2 17" xfId="387"/>
    <cellStyle name="60% - Accent2 18" xfId="388"/>
    <cellStyle name="60% - Accent2 19" xfId="389"/>
    <cellStyle name="60% - Accent2 2" xfId="390"/>
    <cellStyle name="60% - Accent2 20" xfId="391"/>
    <cellStyle name="60% - Accent2 21" xfId="392"/>
    <cellStyle name="60% - Accent2 22" xfId="393"/>
    <cellStyle name="60% - Accent2 23" xfId="394"/>
    <cellStyle name="60% - Accent2 23 10" xfId="2547"/>
    <cellStyle name="60% - Accent2 23 11" xfId="2546"/>
    <cellStyle name="60% - Accent2 23 12" xfId="2545"/>
    <cellStyle name="60% - Accent2 23 13" xfId="2544"/>
    <cellStyle name="60% - Accent2 23 14" xfId="2543"/>
    <cellStyle name="60% - Accent2 23 2" xfId="2542"/>
    <cellStyle name="60% - Accent2 23 3" xfId="2541"/>
    <cellStyle name="60% - Accent2 23 4" xfId="2540"/>
    <cellStyle name="60% - Accent2 23 5" xfId="2539"/>
    <cellStyle name="60% - Accent2 23 6" xfId="2538"/>
    <cellStyle name="60% - Accent2 23 7" xfId="2537"/>
    <cellStyle name="60% - Accent2 23 8" xfId="2536"/>
    <cellStyle name="60% - Accent2 23 9" xfId="2535"/>
    <cellStyle name="60% - Accent2 24" xfId="395"/>
    <cellStyle name="60% - Accent2 24 10" xfId="2534"/>
    <cellStyle name="60% - Accent2 24 11" xfId="2533"/>
    <cellStyle name="60% - Accent2 24 12" xfId="2532"/>
    <cellStyle name="60% - Accent2 24 13" xfId="2531"/>
    <cellStyle name="60% - Accent2 24 14" xfId="2530"/>
    <cellStyle name="60% - Accent2 24 2" xfId="2529"/>
    <cellStyle name="60% - Accent2 24 3" xfId="2932"/>
    <cellStyle name="60% - Accent2 24 4" xfId="2528"/>
    <cellStyle name="60% - Accent2 24 5" xfId="2527"/>
    <cellStyle name="60% - Accent2 24 6" xfId="2526"/>
    <cellStyle name="60% - Accent2 24 7" xfId="2525"/>
    <cellStyle name="60% - Accent2 24 8" xfId="2524"/>
    <cellStyle name="60% - Accent2 24 9" xfId="2523"/>
    <cellStyle name="60% - Accent2 25" xfId="396"/>
    <cellStyle name="60% - Accent2 26" xfId="397"/>
    <cellStyle name="60% - Accent2 27" xfId="398"/>
    <cellStyle name="60% - Accent2 28" xfId="399"/>
    <cellStyle name="60% - Accent2 29" xfId="400"/>
    <cellStyle name="60% - Accent2 3" xfId="401"/>
    <cellStyle name="60% - Accent2 30" xfId="402"/>
    <cellStyle name="60% - Accent2 31" xfId="2522"/>
    <cellStyle name="60% - Accent2 32" xfId="2521"/>
    <cellStyle name="60% - Accent2 33" xfId="2520"/>
    <cellStyle name="60% - Accent2 4" xfId="403"/>
    <cellStyle name="60% - Accent2 5" xfId="404"/>
    <cellStyle name="60% - Accent2 6" xfId="405"/>
    <cellStyle name="60% - Accent2 7" xfId="406"/>
    <cellStyle name="60% - Accent2 8" xfId="407"/>
    <cellStyle name="60% - Accent2 9" xfId="408"/>
    <cellStyle name="60% - Accent3 10" xfId="409"/>
    <cellStyle name="60% - Accent3 11" xfId="410"/>
    <cellStyle name="60% - Accent3 12" xfId="411"/>
    <cellStyle name="60% - Accent3 13" xfId="412"/>
    <cellStyle name="60% - Accent3 14" xfId="413"/>
    <cellStyle name="60% - Accent3 15" xfId="414"/>
    <cellStyle name="60% - Accent3 16" xfId="415"/>
    <cellStyle name="60% - Accent3 17" xfId="416"/>
    <cellStyle name="60% - Accent3 18" xfId="417"/>
    <cellStyle name="60% - Accent3 19" xfId="418"/>
    <cellStyle name="60% - Accent3 2" xfId="419"/>
    <cellStyle name="60% - Accent3 20" xfId="420"/>
    <cellStyle name="60% - Accent3 21" xfId="421"/>
    <cellStyle name="60% - Accent3 22" xfId="422"/>
    <cellStyle name="60% - Accent3 23" xfId="423"/>
    <cellStyle name="60% - Accent3 23 10" xfId="2519"/>
    <cellStyle name="60% - Accent3 23 11" xfId="2518"/>
    <cellStyle name="60% - Accent3 23 12" xfId="2517"/>
    <cellStyle name="60% - Accent3 23 13" xfId="2516"/>
    <cellStyle name="60% - Accent3 23 14" xfId="2515"/>
    <cellStyle name="60% - Accent3 23 2" xfId="2514"/>
    <cellStyle name="60% - Accent3 23 3" xfId="2513"/>
    <cellStyle name="60% - Accent3 23 4" xfId="2512"/>
    <cellStyle name="60% - Accent3 23 5" xfId="2511"/>
    <cellStyle name="60% - Accent3 23 6" xfId="2510"/>
    <cellStyle name="60% - Accent3 23 7" xfId="2509"/>
    <cellStyle name="60% - Accent3 23 8" xfId="2508"/>
    <cellStyle name="60% - Accent3 23 9" xfId="2507"/>
    <cellStyle name="60% - Accent3 24" xfId="424"/>
    <cellStyle name="60% - Accent3 24 10" xfId="2506"/>
    <cellStyle name="60% - Accent3 24 11" xfId="2505"/>
    <cellStyle name="60% - Accent3 24 12" xfId="2504"/>
    <cellStyle name="60% - Accent3 24 13" xfId="2503"/>
    <cellStyle name="60% - Accent3 24 14" xfId="2502"/>
    <cellStyle name="60% - Accent3 24 2" xfId="2501"/>
    <cellStyle name="60% - Accent3 24 3" xfId="2500"/>
    <cellStyle name="60% - Accent3 24 4" xfId="2499"/>
    <cellStyle name="60% - Accent3 24 5" xfId="2498"/>
    <cellStyle name="60% - Accent3 24 6" xfId="2497"/>
    <cellStyle name="60% - Accent3 24 7" xfId="2496"/>
    <cellStyle name="60% - Accent3 24 8" xfId="2495"/>
    <cellStyle name="60% - Accent3 24 9" xfId="2494"/>
    <cellStyle name="60% - Accent3 25" xfId="425"/>
    <cellStyle name="60% - Accent3 26" xfId="426"/>
    <cellStyle name="60% - Accent3 27" xfId="427"/>
    <cellStyle name="60% - Accent3 28" xfId="428"/>
    <cellStyle name="60% - Accent3 29" xfId="429"/>
    <cellStyle name="60% - Accent3 3" xfId="430"/>
    <cellStyle name="60% - Accent3 30" xfId="431"/>
    <cellStyle name="60% - Accent3 31" xfId="2493"/>
    <cellStyle name="60% - Accent3 32" xfId="2492"/>
    <cellStyle name="60% - Accent3 33" xfId="2491"/>
    <cellStyle name="60% - Accent3 4" xfId="432"/>
    <cellStyle name="60% - Accent3 5" xfId="433"/>
    <cellStyle name="60% - Accent3 6" xfId="434"/>
    <cellStyle name="60% - Accent3 7" xfId="435"/>
    <cellStyle name="60% - Accent3 8" xfId="436"/>
    <cellStyle name="60% - Accent3 9" xfId="437"/>
    <cellStyle name="60% - Accent4 10" xfId="438"/>
    <cellStyle name="60% - Accent4 11" xfId="439"/>
    <cellStyle name="60% - Accent4 12" xfId="440"/>
    <cellStyle name="60% - Accent4 13" xfId="441"/>
    <cellStyle name="60% - Accent4 14" xfId="442"/>
    <cellStyle name="60% - Accent4 15" xfId="443"/>
    <cellStyle name="60% - Accent4 16" xfId="444"/>
    <cellStyle name="60% - Accent4 17" xfId="445"/>
    <cellStyle name="60% - Accent4 18" xfId="446"/>
    <cellStyle name="60% - Accent4 19" xfId="447"/>
    <cellStyle name="60% - Accent4 2" xfId="448"/>
    <cellStyle name="60% - Accent4 20" xfId="449"/>
    <cellStyle name="60% - Accent4 21" xfId="450"/>
    <cellStyle name="60% - Accent4 22" xfId="451"/>
    <cellStyle name="60% - Accent4 23" xfId="452"/>
    <cellStyle name="60% - Accent4 23 10" xfId="2490"/>
    <cellStyle name="60% - Accent4 23 11" xfId="2489"/>
    <cellStyle name="60% - Accent4 23 12" xfId="2488"/>
    <cellStyle name="60% - Accent4 23 13" xfId="2487"/>
    <cellStyle name="60% - Accent4 23 14" xfId="2486"/>
    <cellStyle name="60% - Accent4 23 2" xfId="2485"/>
    <cellStyle name="60% - Accent4 23 3" xfId="2484"/>
    <cellStyle name="60% - Accent4 23 4" xfId="2483"/>
    <cellStyle name="60% - Accent4 23 5" xfId="2482"/>
    <cellStyle name="60% - Accent4 23 6" xfId="2481"/>
    <cellStyle name="60% - Accent4 23 7" xfId="2480"/>
    <cellStyle name="60% - Accent4 23 8" xfId="2479"/>
    <cellStyle name="60% - Accent4 23 9" xfId="2478"/>
    <cellStyle name="60% - Accent4 24" xfId="453"/>
    <cellStyle name="60% - Accent4 24 10" xfId="2477"/>
    <cellStyle name="60% - Accent4 24 11" xfId="2476"/>
    <cellStyle name="60% - Accent4 24 12" xfId="2475"/>
    <cellStyle name="60% - Accent4 24 13" xfId="2474"/>
    <cellStyle name="60% - Accent4 24 14" xfId="2473"/>
    <cellStyle name="60% - Accent4 24 2" xfId="2472"/>
    <cellStyle name="60% - Accent4 24 3" xfId="2471"/>
    <cellStyle name="60% - Accent4 24 4" xfId="2470"/>
    <cellStyle name="60% - Accent4 24 5" xfId="2469"/>
    <cellStyle name="60% - Accent4 24 6" xfId="2468"/>
    <cellStyle name="60% - Accent4 24 7" xfId="2467"/>
    <cellStyle name="60% - Accent4 24 8" xfId="2466"/>
    <cellStyle name="60% - Accent4 24 9" xfId="2465"/>
    <cellStyle name="60% - Accent4 25" xfId="454"/>
    <cellStyle name="60% - Accent4 26" xfId="455"/>
    <cellStyle name="60% - Accent4 27" xfId="456"/>
    <cellStyle name="60% - Accent4 28" xfId="457"/>
    <cellStyle name="60% - Accent4 29" xfId="458"/>
    <cellStyle name="60% - Accent4 3" xfId="459"/>
    <cellStyle name="60% - Accent4 30" xfId="460"/>
    <cellStyle name="60% - Accent4 31" xfId="2464"/>
    <cellStyle name="60% - Accent4 32" xfId="2463"/>
    <cellStyle name="60% - Accent4 33" xfId="2462"/>
    <cellStyle name="60% - Accent4 4" xfId="461"/>
    <cellStyle name="60% - Accent4 5" xfId="462"/>
    <cellStyle name="60% - Accent4 6" xfId="463"/>
    <cellStyle name="60% - Accent4 7" xfId="464"/>
    <cellStyle name="60% - Accent4 8" xfId="465"/>
    <cellStyle name="60% - Accent4 9" xfId="466"/>
    <cellStyle name="60% - Accent5 10" xfId="467"/>
    <cellStyle name="60% - Accent5 11" xfId="468"/>
    <cellStyle name="60% - Accent5 12" xfId="469"/>
    <cellStyle name="60% - Accent5 13" xfId="470"/>
    <cellStyle name="60% - Accent5 14" xfId="471"/>
    <cellStyle name="60% - Accent5 15" xfId="472"/>
    <cellStyle name="60% - Accent5 16" xfId="473"/>
    <cellStyle name="60% - Accent5 17" xfId="474"/>
    <cellStyle name="60% - Accent5 18" xfId="475"/>
    <cellStyle name="60% - Accent5 19" xfId="476"/>
    <cellStyle name="60% - Accent5 2" xfId="477"/>
    <cellStyle name="60% - Accent5 20" xfId="478"/>
    <cellStyle name="60% - Accent5 21" xfId="479"/>
    <cellStyle name="60% - Accent5 22" xfId="480"/>
    <cellStyle name="60% - Accent5 23" xfId="481"/>
    <cellStyle name="60% - Accent5 23 10" xfId="2461"/>
    <cellStyle name="60% - Accent5 23 11" xfId="2460"/>
    <cellStyle name="60% - Accent5 23 12" xfId="2459"/>
    <cellStyle name="60% - Accent5 23 13" xfId="2458"/>
    <cellStyle name="60% - Accent5 23 14" xfId="2457"/>
    <cellStyle name="60% - Accent5 23 2" xfId="2456"/>
    <cellStyle name="60% - Accent5 23 3" xfId="2455"/>
    <cellStyle name="60% - Accent5 23 4" xfId="2454"/>
    <cellStyle name="60% - Accent5 23 5" xfId="2453"/>
    <cellStyle name="60% - Accent5 23 6" xfId="2452"/>
    <cellStyle name="60% - Accent5 23 7" xfId="2451"/>
    <cellStyle name="60% - Accent5 23 8" xfId="2450"/>
    <cellStyle name="60% - Accent5 23 9" xfId="2449"/>
    <cellStyle name="60% - Accent5 24" xfId="482"/>
    <cellStyle name="60% - Accent5 24 10" xfId="2448"/>
    <cellStyle name="60% - Accent5 24 11" xfId="2447"/>
    <cellStyle name="60% - Accent5 24 12" xfId="2446"/>
    <cellStyle name="60% - Accent5 24 13" xfId="2445"/>
    <cellStyle name="60% - Accent5 24 14" xfId="2444"/>
    <cellStyle name="60% - Accent5 24 2" xfId="2443"/>
    <cellStyle name="60% - Accent5 24 3" xfId="2442"/>
    <cellStyle name="60% - Accent5 24 4" xfId="2441"/>
    <cellStyle name="60% - Accent5 24 5" xfId="2440"/>
    <cellStyle name="60% - Accent5 24 6" xfId="2439"/>
    <cellStyle name="60% - Accent5 24 7" xfId="2438"/>
    <cellStyle name="60% - Accent5 24 8" xfId="2437"/>
    <cellStyle name="60% - Accent5 24 9" xfId="2436"/>
    <cellStyle name="60% - Accent5 25" xfId="483"/>
    <cellStyle name="60% - Accent5 26" xfId="484"/>
    <cellStyle name="60% - Accent5 27" xfId="485"/>
    <cellStyle name="60% - Accent5 28" xfId="486"/>
    <cellStyle name="60% - Accent5 29" xfId="487"/>
    <cellStyle name="60% - Accent5 3" xfId="488"/>
    <cellStyle name="60% - Accent5 30" xfId="489"/>
    <cellStyle name="60% - Accent5 31" xfId="2435"/>
    <cellStyle name="60% - Accent5 32" xfId="2434"/>
    <cellStyle name="60% - Accent5 33" xfId="2433"/>
    <cellStyle name="60% - Accent5 4" xfId="490"/>
    <cellStyle name="60% - Accent5 5" xfId="491"/>
    <cellStyle name="60% - Accent5 6" xfId="492"/>
    <cellStyle name="60% - Accent5 7" xfId="493"/>
    <cellStyle name="60% - Accent5 8" xfId="494"/>
    <cellStyle name="60% - Accent5 9" xfId="495"/>
    <cellStyle name="60% - Accent6 10" xfId="496"/>
    <cellStyle name="60% - Accent6 11" xfId="497"/>
    <cellStyle name="60% - Accent6 12" xfId="498"/>
    <cellStyle name="60% - Accent6 13" xfId="499"/>
    <cellStyle name="60% - Accent6 14" xfId="500"/>
    <cellStyle name="60% - Accent6 15" xfId="501"/>
    <cellStyle name="60% - Accent6 16" xfId="502"/>
    <cellStyle name="60% - Accent6 17" xfId="503"/>
    <cellStyle name="60% - Accent6 18" xfId="504"/>
    <cellStyle name="60% - Accent6 19" xfId="505"/>
    <cellStyle name="60% - Accent6 2" xfId="506"/>
    <cellStyle name="60% - Accent6 20" xfId="507"/>
    <cellStyle name="60% - Accent6 21" xfId="508"/>
    <cellStyle name="60% - Accent6 22" xfId="509"/>
    <cellStyle name="60% - Accent6 23" xfId="510"/>
    <cellStyle name="60% - Accent6 23 10" xfId="2432"/>
    <cellStyle name="60% - Accent6 23 11" xfId="2431"/>
    <cellStyle name="60% - Accent6 23 12" xfId="2430"/>
    <cellStyle name="60% - Accent6 23 13" xfId="2429"/>
    <cellStyle name="60% - Accent6 23 14" xfId="2428"/>
    <cellStyle name="60% - Accent6 23 2" xfId="2427"/>
    <cellStyle name="60% - Accent6 23 3" xfId="2426"/>
    <cellStyle name="60% - Accent6 23 4" xfId="2425"/>
    <cellStyle name="60% - Accent6 23 5" xfId="2424"/>
    <cellStyle name="60% - Accent6 23 6" xfId="2423"/>
    <cellStyle name="60% - Accent6 23 7" xfId="2422"/>
    <cellStyle name="60% - Accent6 23 8" xfId="2421"/>
    <cellStyle name="60% - Accent6 23 9" xfId="2420"/>
    <cellStyle name="60% - Accent6 24" xfId="511"/>
    <cellStyle name="60% - Accent6 24 10" xfId="2419"/>
    <cellStyle name="60% - Accent6 24 11" xfId="2418"/>
    <cellStyle name="60% - Accent6 24 12" xfId="2417"/>
    <cellStyle name="60% - Accent6 24 13" xfId="2416"/>
    <cellStyle name="60% - Accent6 24 14" xfId="2415"/>
    <cellStyle name="60% - Accent6 24 2" xfId="2414"/>
    <cellStyle name="60% - Accent6 24 3" xfId="2413"/>
    <cellStyle name="60% - Accent6 24 4" xfId="2412"/>
    <cellStyle name="60% - Accent6 24 5" xfId="2411"/>
    <cellStyle name="60% - Accent6 24 6" xfId="2410"/>
    <cellStyle name="60% - Accent6 24 7" xfId="2409"/>
    <cellStyle name="60% - Accent6 24 8" xfId="2408"/>
    <cellStyle name="60% - Accent6 24 9" xfId="2407"/>
    <cellStyle name="60% - Accent6 25" xfId="512"/>
    <cellStyle name="60% - Accent6 26" xfId="513"/>
    <cellStyle name="60% - Accent6 27" xfId="514"/>
    <cellStyle name="60% - Accent6 28" xfId="515"/>
    <cellStyle name="60% - Accent6 29" xfId="516"/>
    <cellStyle name="60% - Accent6 3" xfId="517"/>
    <cellStyle name="60% - Accent6 30" xfId="518"/>
    <cellStyle name="60% - Accent6 31" xfId="2406"/>
    <cellStyle name="60% - Accent6 32" xfId="2405"/>
    <cellStyle name="60% - Accent6 33" xfId="2404"/>
    <cellStyle name="60% - Accent6 4" xfId="519"/>
    <cellStyle name="60% - Accent6 5" xfId="520"/>
    <cellStyle name="60% - Accent6 6" xfId="521"/>
    <cellStyle name="60% - Accent6 7" xfId="522"/>
    <cellStyle name="60% - Accent6 8" xfId="523"/>
    <cellStyle name="60% - Accent6 9" xfId="524"/>
    <cellStyle name="Accent1 10" xfId="525"/>
    <cellStyle name="Accent1 11" xfId="526"/>
    <cellStyle name="Accent1 12" xfId="527"/>
    <cellStyle name="Accent1 13" xfId="528"/>
    <cellStyle name="Accent1 14" xfId="529"/>
    <cellStyle name="Accent1 15" xfId="530"/>
    <cellStyle name="Accent1 16" xfId="531"/>
    <cellStyle name="Accent1 17" xfId="532"/>
    <cellStyle name="Accent1 18" xfId="533"/>
    <cellStyle name="Accent1 19" xfId="534"/>
    <cellStyle name="Accent1 2" xfId="535"/>
    <cellStyle name="Accent1 20" xfId="536"/>
    <cellStyle name="Accent1 21" xfId="537"/>
    <cellStyle name="Accent1 22" xfId="538"/>
    <cellStyle name="Accent1 23" xfId="539"/>
    <cellStyle name="Accent1 23 10" xfId="2403"/>
    <cellStyle name="Accent1 23 11" xfId="2402"/>
    <cellStyle name="Accent1 23 12" xfId="2401"/>
    <cellStyle name="Accent1 23 13" xfId="2400"/>
    <cellStyle name="Accent1 23 14" xfId="2399"/>
    <cellStyle name="Accent1 23 2" xfId="2398"/>
    <cellStyle name="Accent1 23 3" xfId="2397"/>
    <cellStyle name="Accent1 23 4" xfId="2396"/>
    <cellStyle name="Accent1 23 5" xfId="2395"/>
    <cellStyle name="Accent1 23 6" xfId="2394"/>
    <cellStyle name="Accent1 23 7" xfId="2393"/>
    <cellStyle name="Accent1 23 8" xfId="2392"/>
    <cellStyle name="Accent1 23 9" xfId="2391"/>
    <cellStyle name="Accent1 24" xfId="540"/>
    <cellStyle name="Accent1 24 10" xfId="2390"/>
    <cellStyle name="Accent1 24 11" xfId="2389"/>
    <cellStyle name="Accent1 24 12" xfId="2388"/>
    <cellStyle name="Accent1 24 13" xfId="2387"/>
    <cellStyle name="Accent1 24 14" xfId="2386"/>
    <cellStyle name="Accent1 24 2" xfId="2385"/>
    <cellStyle name="Accent1 24 3" xfId="2384"/>
    <cellStyle name="Accent1 24 4" xfId="2383"/>
    <cellStyle name="Accent1 24 5" xfId="2382"/>
    <cellStyle name="Accent1 24 6" xfId="2381"/>
    <cellStyle name="Accent1 24 7" xfId="2380"/>
    <cellStyle name="Accent1 24 8" xfId="2379"/>
    <cellStyle name="Accent1 24 9" xfId="2378"/>
    <cellStyle name="Accent1 25" xfId="541"/>
    <cellStyle name="Accent1 26" xfId="542"/>
    <cellStyle name="Accent1 27" xfId="543"/>
    <cellStyle name="Accent1 28" xfId="544"/>
    <cellStyle name="Accent1 29" xfId="545"/>
    <cellStyle name="Accent1 3" xfId="546"/>
    <cellStyle name="Accent1 30" xfId="547"/>
    <cellStyle name="Accent1 31" xfId="2377"/>
    <cellStyle name="Accent1 32" xfId="2376"/>
    <cellStyle name="Accent1 33" xfId="2375"/>
    <cellStyle name="Accent1 4" xfId="548"/>
    <cellStyle name="Accent1 5" xfId="549"/>
    <cellStyle name="Accent1 6" xfId="550"/>
    <cellStyle name="Accent1 7" xfId="551"/>
    <cellStyle name="Accent1 8" xfId="552"/>
    <cellStyle name="Accent1 9" xfId="553"/>
    <cellStyle name="Accent2 10" xfId="554"/>
    <cellStyle name="Accent2 11" xfId="555"/>
    <cellStyle name="Accent2 12" xfId="556"/>
    <cellStyle name="Accent2 13" xfId="557"/>
    <cellStyle name="Accent2 14" xfId="558"/>
    <cellStyle name="Accent2 15" xfId="559"/>
    <cellStyle name="Accent2 16" xfId="560"/>
    <cellStyle name="Accent2 17" xfId="561"/>
    <cellStyle name="Accent2 18" xfId="562"/>
    <cellStyle name="Accent2 19" xfId="563"/>
    <cellStyle name="Accent2 2" xfId="564"/>
    <cellStyle name="Accent2 20" xfId="565"/>
    <cellStyle name="Accent2 21" xfId="566"/>
    <cellStyle name="Accent2 22" xfId="567"/>
    <cellStyle name="Accent2 23" xfId="568"/>
    <cellStyle name="Accent2 23 10" xfId="2374"/>
    <cellStyle name="Accent2 23 11" xfId="2373"/>
    <cellStyle name="Accent2 23 12" xfId="2372"/>
    <cellStyle name="Accent2 23 13" xfId="2371"/>
    <cellStyle name="Accent2 23 14" xfId="2370"/>
    <cellStyle name="Accent2 23 2" xfId="2369"/>
    <cellStyle name="Accent2 23 3" xfId="2368"/>
    <cellStyle name="Accent2 23 4" xfId="2367"/>
    <cellStyle name="Accent2 23 5" xfId="2366"/>
    <cellStyle name="Accent2 23 6" xfId="2365"/>
    <cellStyle name="Accent2 23 7" xfId="2364"/>
    <cellStyle name="Accent2 23 8" xfId="2363"/>
    <cellStyle name="Accent2 23 9" xfId="2362"/>
    <cellStyle name="Accent2 24" xfId="569"/>
    <cellStyle name="Accent2 24 10" xfId="2361"/>
    <cellStyle name="Accent2 24 11" xfId="2360"/>
    <cellStyle name="Accent2 24 12" xfId="2359"/>
    <cellStyle name="Accent2 24 13" xfId="2358"/>
    <cellStyle name="Accent2 24 14" xfId="2357"/>
    <cellStyle name="Accent2 24 2" xfId="2356"/>
    <cellStyle name="Accent2 24 3" xfId="2355"/>
    <cellStyle name="Accent2 24 4" xfId="2354"/>
    <cellStyle name="Accent2 24 5" xfId="2353"/>
    <cellStyle name="Accent2 24 6" xfId="2352"/>
    <cellStyle name="Accent2 24 7" xfId="2351"/>
    <cellStyle name="Accent2 24 8" xfId="2350"/>
    <cellStyle name="Accent2 24 9" xfId="2349"/>
    <cellStyle name="Accent2 25" xfId="570"/>
    <cellStyle name="Accent2 26" xfId="571"/>
    <cellStyle name="Accent2 27" xfId="572"/>
    <cellStyle name="Accent2 28" xfId="573"/>
    <cellStyle name="Accent2 29" xfId="574"/>
    <cellStyle name="Accent2 3" xfId="575"/>
    <cellStyle name="Accent2 30" xfId="576"/>
    <cellStyle name="Accent2 31" xfId="2348"/>
    <cellStyle name="Accent2 32" xfId="2347"/>
    <cellStyle name="Accent2 33" xfId="2346"/>
    <cellStyle name="Accent2 4" xfId="577"/>
    <cellStyle name="Accent2 5" xfId="578"/>
    <cellStyle name="Accent2 6" xfId="579"/>
    <cellStyle name="Accent2 7" xfId="580"/>
    <cellStyle name="Accent2 8" xfId="581"/>
    <cellStyle name="Accent2 9" xfId="582"/>
    <cellStyle name="Accent3 10" xfId="583"/>
    <cellStyle name="Accent3 11" xfId="584"/>
    <cellStyle name="Accent3 12" xfId="585"/>
    <cellStyle name="Accent3 13" xfId="586"/>
    <cellStyle name="Accent3 14" xfId="587"/>
    <cellStyle name="Accent3 15" xfId="588"/>
    <cellStyle name="Accent3 16" xfId="589"/>
    <cellStyle name="Accent3 17" xfId="590"/>
    <cellStyle name="Accent3 18" xfId="591"/>
    <cellStyle name="Accent3 19" xfId="592"/>
    <cellStyle name="Accent3 2" xfId="593"/>
    <cellStyle name="Accent3 20" xfId="594"/>
    <cellStyle name="Accent3 21" xfId="595"/>
    <cellStyle name="Accent3 22" xfId="596"/>
    <cellStyle name="Accent3 23" xfId="597"/>
    <cellStyle name="Accent3 23 10" xfId="2345"/>
    <cellStyle name="Accent3 23 11" xfId="2344"/>
    <cellStyle name="Accent3 23 12" xfId="2343"/>
    <cellStyle name="Accent3 23 13" xfId="2342"/>
    <cellStyle name="Accent3 23 14" xfId="2341"/>
    <cellStyle name="Accent3 23 2" xfId="2340"/>
    <cellStyle name="Accent3 23 3" xfId="2339"/>
    <cellStyle name="Accent3 23 4" xfId="2338"/>
    <cellStyle name="Accent3 23 5" xfId="2337"/>
    <cellStyle name="Accent3 23 6" xfId="2336"/>
    <cellStyle name="Accent3 23 7" xfId="2335"/>
    <cellStyle name="Accent3 23 8" xfId="2334"/>
    <cellStyle name="Accent3 23 9" xfId="2333"/>
    <cellStyle name="Accent3 24" xfId="598"/>
    <cellStyle name="Accent3 24 10" xfId="2332"/>
    <cellStyle name="Accent3 24 11" xfId="2331"/>
    <cellStyle name="Accent3 24 12" xfId="2330"/>
    <cellStyle name="Accent3 24 13" xfId="2329"/>
    <cellStyle name="Accent3 24 14" xfId="2328"/>
    <cellStyle name="Accent3 24 2" xfId="2327"/>
    <cellStyle name="Accent3 24 3" xfId="2326"/>
    <cellStyle name="Accent3 24 4" xfId="2325"/>
    <cellStyle name="Accent3 24 5" xfId="2324"/>
    <cellStyle name="Accent3 24 6" xfId="2323"/>
    <cellStyle name="Accent3 24 7" xfId="2322"/>
    <cellStyle name="Accent3 24 8" xfId="2321"/>
    <cellStyle name="Accent3 24 9" xfId="2320"/>
    <cellStyle name="Accent3 25" xfId="599"/>
    <cellStyle name="Accent3 26" xfId="600"/>
    <cellStyle name="Accent3 27" xfId="601"/>
    <cellStyle name="Accent3 28" xfId="602"/>
    <cellStyle name="Accent3 29" xfId="603"/>
    <cellStyle name="Accent3 3" xfId="604"/>
    <cellStyle name="Accent3 30" xfId="605"/>
    <cellStyle name="Accent3 31" xfId="2319"/>
    <cellStyle name="Accent3 32" xfId="2318"/>
    <cellStyle name="Accent3 33" xfId="2317"/>
    <cellStyle name="Accent3 4" xfId="606"/>
    <cellStyle name="Accent3 5" xfId="607"/>
    <cellStyle name="Accent3 6" xfId="608"/>
    <cellStyle name="Accent3 7" xfId="609"/>
    <cellStyle name="Accent3 8" xfId="610"/>
    <cellStyle name="Accent3 9" xfId="611"/>
    <cellStyle name="Accent4 10" xfId="612"/>
    <cellStyle name="Accent4 11" xfId="613"/>
    <cellStyle name="Accent4 12" xfId="614"/>
    <cellStyle name="Accent4 13" xfId="615"/>
    <cellStyle name="Accent4 14" xfId="616"/>
    <cellStyle name="Accent4 15" xfId="617"/>
    <cellStyle name="Accent4 16" xfId="618"/>
    <cellStyle name="Accent4 17" xfId="619"/>
    <cellStyle name="Accent4 18" xfId="620"/>
    <cellStyle name="Accent4 19" xfId="621"/>
    <cellStyle name="Accent4 2" xfId="622"/>
    <cellStyle name="Accent4 20" xfId="623"/>
    <cellStyle name="Accent4 21" xfId="624"/>
    <cellStyle name="Accent4 22" xfId="625"/>
    <cellStyle name="Accent4 23" xfId="626"/>
    <cellStyle name="Accent4 23 10" xfId="2316"/>
    <cellStyle name="Accent4 23 11" xfId="2315"/>
    <cellStyle name="Accent4 23 12" xfId="2314"/>
    <cellStyle name="Accent4 23 13" xfId="2313"/>
    <cellStyle name="Accent4 23 14" xfId="2312"/>
    <cellStyle name="Accent4 23 2" xfId="2311"/>
    <cellStyle name="Accent4 23 3" xfId="2310"/>
    <cellStyle name="Accent4 23 4" xfId="2309"/>
    <cellStyle name="Accent4 23 5" xfId="2308"/>
    <cellStyle name="Accent4 23 6" xfId="2307"/>
    <cellStyle name="Accent4 23 7" xfId="2306"/>
    <cellStyle name="Accent4 23 8" xfId="2305"/>
    <cellStyle name="Accent4 23 9" xfId="2304"/>
    <cellStyle name="Accent4 24" xfId="627"/>
    <cellStyle name="Accent4 24 10" xfId="2303"/>
    <cellStyle name="Accent4 24 11" xfId="2302"/>
    <cellStyle name="Accent4 24 12" xfId="2301"/>
    <cellStyle name="Accent4 24 13" xfId="2300"/>
    <cellStyle name="Accent4 24 14" xfId="2299"/>
    <cellStyle name="Accent4 24 2" xfId="2298"/>
    <cellStyle name="Accent4 24 3" xfId="2297"/>
    <cellStyle name="Accent4 24 4" xfId="2296"/>
    <cellStyle name="Accent4 24 5" xfId="2295"/>
    <cellStyle name="Accent4 24 6" xfId="2294"/>
    <cellStyle name="Accent4 24 7" xfId="2293"/>
    <cellStyle name="Accent4 24 8" xfId="2292"/>
    <cellStyle name="Accent4 24 9" xfId="2291"/>
    <cellStyle name="Accent4 25" xfId="628"/>
    <cellStyle name="Accent4 26" xfId="629"/>
    <cellStyle name="Accent4 27" xfId="630"/>
    <cellStyle name="Accent4 28" xfId="631"/>
    <cellStyle name="Accent4 29" xfId="632"/>
    <cellStyle name="Accent4 3" xfId="633"/>
    <cellStyle name="Accent4 30" xfId="634"/>
    <cellStyle name="Accent4 31" xfId="2290"/>
    <cellStyle name="Accent4 32" xfId="2289"/>
    <cellStyle name="Accent4 33" xfId="2288"/>
    <cellStyle name="Accent4 4" xfId="635"/>
    <cellStyle name="Accent4 5" xfId="636"/>
    <cellStyle name="Accent4 6" xfId="637"/>
    <cellStyle name="Accent4 7" xfId="638"/>
    <cellStyle name="Accent4 8" xfId="639"/>
    <cellStyle name="Accent4 9" xfId="640"/>
    <cellStyle name="Accent5 10" xfId="641"/>
    <cellStyle name="Accent5 11" xfId="642"/>
    <cellStyle name="Accent5 12" xfId="643"/>
    <cellStyle name="Accent5 13" xfId="644"/>
    <cellStyle name="Accent5 14" xfId="645"/>
    <cellStyle name="Accent5 15" xfId="646"/>
    <cellStyle name="Accent5 16" xfId="647"/>
    <cellStyle name="Accent5 17" xfId="648"/>
    <cellStyle name="Accent5 18" xfId="649"/>
    <cellStyle name="Accent5 19" xfId="650"/>
    <cellStyle name="Accent5 2" xfId="651"/>
    <cellStyle name="Accent5 20" xfId="652"/>
    <cellStyle name="Accent5 21" xfId="653"/>
    <cellStyle name="Accent5 22" xfId="654"/>
    <cellStyle name="Accent5 23" xfId="655"/>
    <cellStyle name="Accent5 23 10" xfId="2287"/>
    <cellStyle name="Accent5 23 11" xfId="2286"/>
    <cellStyle name="Accent5 23 12" xfId="2285"/>
    <cellStyle name="Accent5 23 13" xfId="2284"/>
    <cellStyle name="Accent5 23 14" xfId="2283"/>
    <cellStyle name="Accent5 23 2" xfId="2282"/>
    <cellStyle name="Accent5 23 3" xfId="2281"/>
    <cellStyle name="Accent5 23 4" xfId="2280"/>
    <cellStyle name="Accent5 23 5" xfId="2279"/>
    <cellStyle name="Accent5 23 6" xfId="2278"/>
    <cellStyle name="Accent5 23 7" xfId="2277"/>
    <cellStyle name="Accent5 23 8" xfId="2276"/>
    <cellStyle name="Accent5 23 9" xfId="2275"/>
    <cellStyle name="Accent5 24" xfId="656"/>
    <cellStyle name="Accent5 24 10" xfId="2274"/>
    <cellStyle name="Accent5 24 11" xfId="2273"/>
    <cellStyle name="Accent5 24 12" xfId="2272"/>
    <cellStyle name="Accent5 24 13" xfId="2271"/>
    <cellStyle name="Accent5 24 14" xfId="2270"/>
    <cellStyle name="Accent5 24 2" xfId="2269"/>
    <cellStyle name="Accent5 24 3" xfId="2268"/>
    <cellStyle name="Accent5 24 4" xfId="2267"/>
    <cellStyle name="Accent5 24 5" xfId="2266"/>
    <cellStyle name="Accent5 24 6" xfId="2265"/>
    <cellStyle name="Accent5 24 7" xfId="2264"/>
    <cellStyle name="Accent5 24 8" xfId="2263"/>
    <cellStyle name="Accent5 24 9" xfId="2262"/>
    <cellStyle name="Accent5 25" xfId="657"/>
    <cellStyle name="Accent5 26" xfId="658"/>
    <cellStyle name="Accent5 27" xfId="659"/>
    <cellStyle name="Accent5 28" xfId="660"/>
    <cellStyle name="Accent5 29" xfId="661"/>
    <cellStyle name="Accent5 3" xfId="662"/>
    <cellStyle name="Accent5 30" xfId="663"/>
    <cellStyle name="Accent5 31" xfId="2261"/>
    <cellStyle name="Accent5 32" xfId="2260"/>
    <cellStyle name="Accent5 33" xfId="2259"/>
    <cellStyle name="Accent5 4" xfId="664"/>
    <cellStyle name="Accent5 5" xfId="665"/>
    <cellStyle name="Accent5 6" xfId="666"/>
    <cellStyle name="Accent5 7" xfId="667"/>
    <cellStyle name="Accent5 8" xfId="668"/>
    <cellStyle name="Accent5 9" xfId="669"/>
    <cellStyle name="Accent6 10" xfId="670"/>
    <cellStyle name="Accent6 11" xfId="671"/>
    <cellStyle name="Accent6 12" xfId="672"/>
    <cellStyle name="Accent6 13" xfId="673"/>
    <cellStyle name="Accent6 14" xfId="674"/>
    <cellStyle name="Accent6 15" xfId="675"/>
    <cellStyle name="Accent6 16" xfId="676"/>
    <cellStyle name="Accent6 17" xfId="677"/>
    <cellStyle name="Accent6 18" xfId="678"/>
    <cellStyle name="Accent6 19" xfId="679"/>
    <cellStyle name="Accent6 2" xfId="680"/>
    <cellStyle name="Accent6 20" xfId="681"/>
    <cellStyle name="Accent6 21" xfId="682"/>
    <cellStyle name="Accent6 22" xfId="683"/>
    <cellStyle name="Accent6 23" xfId="684"/>
    <cellStyle name="Accent6 23 10" xfId="2258"/>
    <cellStyle name="Accent6 23 11" xfId="2257"/>
    <cellStyle name="Accent6 23 12" xfId="2256"/>
    <cellStyle name="Accent6 23 13" xfId="2255"/>
    <cellStyle name="Accent6 23 14" xfId="2254"/>
    <cellStyle name="Accent6 23 2" xfId="2253"/>
    <cellStyle name="Accent6 23 3" xfId="2252"/>
    <cellStyle name="Accent6 23 4" xfId="2251"/>
    <cellStyle name="Accent6 23 5" xfId="2250"/>
    <cellStyle name="Accent6 23 6" xfId="2249"/>
    <cellStyle name="Accent6 23 7" xfId="2248"/>
    <cellStyle name="Accent6 23 8" xfId="2247"/>
    <cellStyle name="Accent6 23 9" xfId="2246"/>
    <cellStyle name="Accent6 24" xfId="685"/>
    <cellStyle name="Accent6 24 10" xfId="2245"/>
    <cellStyle name="Accent6 24 11" xfId="2244"/>
    <cellStyle name="Accent6 24 12" xfId="2243"/>
    <cellStyle name="Accent6 24 13" xfId="2242"/>
    <cellStyle name="Accent6 24 14" xfId="2241"/>
    <cellStyle name="Accent6 24 2" xfId="2240"/>
    <cellStyle name="Accent6 24 3" xfId="2239"/>
    <cellStyle name="Accent6 24 4" xfId="2238"/>
    <cellStyle name="Accent6 24 5" xfId="2237"/>
    <cellStyle name="Accent6 24 6" xfId="2236"/>
    <cellStyle name="Accent6 24 7" xfId="2235"/>
    <cellStyle name="Accent6 24 8" xfId="2234"/>
    <cellStyle name="Accent6 24 9" xfId="2233"/>
    <cellStyle name="Accent6 25" xfId="686"/>
    <cellStyle name="Accent6 26" xfId="687"/>
    <cellStyle name="Accent6 27" xfId="688"/>
    <cellStyle name="Accent6 28" xfId="689"/>
    <cellStyle name="Accent6 29" xfId="690"/>
    <cellStyle name="Accent6 3" xfId="691"/>
    <cellStyle name="Accent6 30" xfId="692"/>
    <cellStyle name="Accent6 31" xfId="2232"/>
    <cellStyle name="Accent6 32" xfId="2231"/>
    <cellStyle name="Accent6 33" xfId="2230"/>
    <cellStyle name="Accent6 4" xfId="693"/>
    <cellStyle name="Accent6 5" xfId="694"/>
    <cellStyle name="Accent6 6" xfId="695"/>
    <cellStyle name="Accent6 7" xfId="696"/>
    <cellStyle name="Accent6 8" xfId="697"/>
    <cellStyle name="Accent6 9" xfId="698"/>
    <cellStyle name="Bad 10" xfId="699"/>
    <cellStyle name="Bad 11" xfId="700"/>
    <cellStyle name="Bad 12" xfId="701"/>
    <cellStyle name="Bad 13" xfId="702"/>
    <cellStyle name="Bad 14" xfId="703"/>
    <cellStyle name="Bad 15" xfId="704"/>
    <cellStyle name="Bad 16" xfId="705"/>
    <cellStyle name="Bad 17" xfId="706"/>
    <cellStyle name="Bad 18" xfId="707"/>
    <cellStyle name="Bad 19" xfId="708"/>
    <cellStyle name="Bad 2" xfId="709"/>
    <cellStyle name="Bad 20" xfId="710"/>
    <cellStyle name="Bad 21" xfId="711"/>
    <cellStyle name="Bad 22" xfId="712"/>
    <cellStyle name="Bad 23" xfId="713"/>
    <cellStyle name="Bad 23 10" xfId="2229"/>
    <cellStyle name="Bad 23 11" xfId="2228"/>
    <cellStyle name="Bad 23 12" xfId="2227"/>
    <cellStyle name="Bad 23 13" xfId="2226"/>
    <cellStyle name="Bad 23 14" xfId="2225"/>
    <cellStyle name="Bad 23 2" xfId="2224"/>
    <cellStyle name="Bad 23 3" xfId="2223"/>
    <cellStyle name="Bad 23 4" xfId="2222"/>
    <cellStyle name="Bad 23 5" xfId="2221"/>
    <cellStyle name="Bad 23 6" xfId="2220"/>
    <cellStyle name="Bad 23 7" xfId="2219"/>
    <cellStyle name="Bad 23 8" xfId="2218"/>
    <cellStyle name="Bad 23 9" xfId="2217"/>
    <cellStyle name="Bad 24" xfId="714"/>
    <cellStyle name="Bad 24 10" xfId="2216"/>
    <cellStyle name="Bad 24 11" xfId="2215"/>
    <cellStyle name="Bad 24 12" xfId="2214"/>
    <cellStyle name="Bad 24 13" xfId="2213"/>
    <cellStyle name="Bad 24 14" xfId="2212"/>
    <cellStyle name="Bad 24 2" xfId="2211"/>
    <cellStyle name="Bad 24 3" xfId="2210"/>
    <cellStyle name="Bad 24 4" xfId="2209"/>
    <cellStyle name="Bad 24 5" xfId="2208"/>
    <cellStyle name="Bad 24 6" xfId="2207"/>
    <cellStyle name="Bad 24 7" xfId="2206"/>
    <cellStyle name="Bad 24 8" xfId="2205"/>
    <cellStyle name="Bad 24 9" xfId="2204"/>
    <cellStyle name="Bad 25" xfId="715"/>
    <cellStyle name="Bad 26" xfId="716"/>
    <cellStyle name="Bad 27" xfId="717"/>
    <cellStyle name="Bad 28" xfId="718"/>
    <cellStyle name="Bad 29" xfId="719"/>
    <cellStyle name="Bad 3" xfId="720"/>
    <cellStyle name="Bad 30" xfId="721"/>
    <cellStyle name="Bad 31" xfId="2203"/>
    <cellStyle name="Bad 32" xfId="2202"/>
    <cellStyle name="Bad 33" xfId="2201"/>
    <cellStyle name="Bad 4" xfId="722"/>
    <cellStyle name="Bad 5" xfId="723"/>
    <cellStyle name="Bad 6" xfId="724"/>
    <cellStyle name="Bad 7" xfId="725"/>
    <cellStyle name="Bad 8" xfId="726"/>
    <cellStyle name="Bad 9" xfId="727"/>
    <cellStyle name="Calculation 10" xfId="728"/>
    <cellStyle name="Calculation 11" xfId="729"/>
    <cellStyle name="Calculation 12" xfId="730"/>
    <cellStyle name="Calculation 13" xfId="731"/>
    <cellStyle name="Calculation 14" xfId="732"/>
    <cellStyle name="Calculation 15" xfId="733"/>
    <cellStyle name="Calculation 16" xfId="734"/>
    <cellStyle name="Calculation 17" xfId="735"/>
    <cellStyle name="Calculation 18" xfId="736"/>
    <cellStyle name="Calculation 19" xfId="737"/>
    <cellStyle name="Calculation 2" xfId="738"/>
    <cellStyle name="Calculation 20" xfId="739"/>
    <cellStyle name="Calculation 21" xfId="740"/>
    <cellStyle name="Calculation 22" xfId="741"/>
    <cellStyle name="Calculation 23" xfId="742"/>
    <cellStyle name="Calculation 23 10" xfId="2200"/>
    <cellStyle name="Calculation 23 11" xfId="2199"/>
    <cellStyle name="Calculation 23 12" xfId="2198"/>
    <cellStyle name="Calculation 23 13" xfId="2197"/>
    <cellStyle name="Calculation 23 14" xfId="2196"/>
    <cellStyle name="Calculation 23 2" xfId="2195"/>
    <cellStyle name="Calculation 23 3" xfId="2194"/>
    <cellStyle name="Calculation 23 4" xfId="2193"/>
    <cellStyle name="Calculation 23 5" xfId="2192"/>
    <cellStyle name="Calculation 23 6" xfId="2191"/>
    <cellStyle name="Calculation 23 7" xfId="2190"/>
    <cellStyle name="Calculation 23 8" xfId="2189"/>
    <cellStyle name="Calculation 23 9" xfId="2188"/>
    <cellStyle name="Calculation 24" xfId="743"/>
    <cellStyle name="Calculation 24 10" xfId="2187"/>
    <cellStyle name="Calculation 24 11" xfId="2186"/>
    <cellStyle name="Calculation 24 12" xfId="2185"/>
    <cellStyle name="Calculation 24 13" xfId="2184"/>
    <cellStyle name="Calculation 24 14" xfId="2183"/>
    <cellStyle name="Calculation 24 2" xfId="2182"/>
    <cellStyle name="Calculation 24 3" xfId="2181"/>
    <cellStyle name="Calculation 24 4" xfId="2180"/>
    <cellStyle name="Calculation 24 5" xfId="2179"/>
    <cellStyle name="Calculation 24 6" xfId="2178"/>
    <cellStyle name="Calculation 24 7" xfId="2177"/>
    <cellStyle name="Calculation 24 8" xfId="2176"/>
    <cellStyle name="Calculation 24 9" xfId="2175"/>
    <cellStyle name="Calculation 25" xfId="744"/>
    <cellStyle name="Calculation 26" xfId="745"/>
    <cellStyle name="Calculation 27" xfId="746"/>
    <cellStyle name="Calculation 28" xfId="747"/>
    <cellStyle name="Calculation 29" xfId="748"/>
    <cellStyle name="Calculation 3" xfId="749"/>
    <cellStyle name="Calculation 30" xfId="750"/>
    <cellStyle name="Calculation 31" xfId="2174"/>
    <cellStyle name="Calculation 32" xfId="2173"/>
    <cellStyle name="Calculation 33" xfId="2172"/>
    <cellStyle name="Calculation 4" xfId="751"/>
    <cellStyle name="Calculation 5" xfId="752"/>
    <cellStyle name="Calculation 6" xfId="753"/>
    <cellStyle name="Calculation 7" xfId="754"/>
    <cellStyle name="Calculation 8" xfId="755"/>
    <cellStyle name="Calculation 9" xfId="756"/>
    <cellStyle name="Check Cell 10" xfId="757"/>
    <cellStyle name="Check Cell 11" xfId="758"/>
    <cellStyle name="Check Cell 12" xfId="759"/>
    <cellStyle name="Check Cell 13" xfId="760"/>
    <cellStyle name="Check Cell 14" xfId="761"/>
    <cellStyle name="Check Cell 15" xfId="762"/>
    <cellStyle name="Check Cell 16" xfId="763"/>
    <cellStyle name="Check Cell 17" xfId="764"/>
    <cellStyle name="Check Cell 18" xfId="765"/>
    <cellStyle name="Check Cell 19" xfId="766"/>
    <cellStyle name="Check Cell 2" xfId="767"/>
    <cellStyle name="Check Cell 20" xfId="768"/>
    <cellStyle name="Check Cell 21" xfId="769"/>
    <cellStyle name="Check Cell 22" xfId="770"/>
    <cellStyle name="Check Cell 23" xfId="771"/>
    <cellStyle name="Check Cell 23 10" xfId="2171"/>
    <cellStyle name="Check Cell 23 11" xfId="2170"/>
    <cellStyle name="Check Cell 23 12" xfId="2169"/>
    <cellStyle name="Check Cell 23 13" xfId="2168"/>
    <cellStyle name="Check Cell 23 14" xfId="2167"/>
    <cellStyle name="Check Cell 23 2" xfId="2166"/>
    <cellStyle name="Check Cell 23 3" xfId="2165"/>
    <cellStyle name="Check Cell 23 4" xfId="2164"/>
    <cellStyle name="Check Cell 23 5" xfId="2163"/>
    <cellStyle name="Check Cell 23 6" xfId="2162"/>
    <cellStyle name="Check Cell 23 7" xfId="2161"/>
    <cellStyle name="Check Cell 23 8" xfId="2160"/>
    <cellStyle name="Check Cell 23 9" xfId="2159"/>
    <cellStyle name="Check Cell 24" xfId="772"/>
    <cellStyle name="Check Cell 24 10" xfId="2158"/>
    <cellStyle name="Check Cell 24 11" xfId="2157"/>
    <cellStyle name="Check Cell 24 12" xfId="2156"/>
    <cellStyle name="Check Cell 24 13" xfId="2155"/>
    <cellStyle name="Check Cell 24 14" xfId="2154"/>
    <cellStyle name="Check Cell 24 2" xfId="2153"/>
    <cellStyle name="Check Cell 24 3" xfId="2152"/>
    <cellStyle name="Check Cell 24 4" xfId="2151"/>
    <cellStyle name="Check Cell 24 5" xfId="2150"/>
    <cellStyle name="Check Cell 24 6" xfId="2149"/>
    <cellStyle name="Check Cell 24 7" xfId="2148"/>
    <cellStyle name="Check Cell 24 8" xfId="2147"/>
    <cellStyle name="Check Cell 24 9" xfId="2146"/>
    <cellStyle name="Check Cell 25" xfId="773"/>
    <cellStyle name="Check Cell 26" xfId="774"/>
    <cellStyle name="Check Cell 27" xfId="775"/>
    <cellStyle name="Check Cell 28" xfId="776"/>
    <cellStyle name="Check Cell 29" xfId="777"/>
    <cellStyle name="Check Cell 3" xfId="778"/>
    <cellStyle name="Check Cell 30" xfId="779"/>
    <cellStyle name="Check Cell 31" xfId="2145"/>
    <cellStyle name="Check Cell 32" xfId="2144"/>
    <cellStyle name="Check Cell 33" xfId="2143"/>
    <cellStyle name="Check Cell 4" xfId="780"/>
    <cellStyle name="Check Cell 5" xfId="781"/>
    <cellStyle name="Check Cell 6" xfId="782"/>
    <cellStyle name="Check Cell 7" xfId="783"/>
    <cellStyle name="Check Cell 8" xfId="784"/>
    <cellStyle name="Check Cell 9" xfId="785"/>
    <cellStyle name="Comma" xfId="1"/>
    <cellStyle name="Comma [0] 10" xfId="786"/>
    <cellStyle name="Comma [0] 10 10" xfId="2142"/>
    <cellStyle name="Comma [0] 10 11" xfId="2141"/>
    <cellStyle name="Comma [0] 10 12" xfId="2140"/>
    <cellStyle name="Comma [0] 10 13" xfId="2139"/>
    <cellStyle name="Comma [0] 10 14" xfId="2138"/>
    <cellStyle name="Comma [0] 10 15" xfId="2137"/>
    <cellStyle name="Comma [0] 10 16" xfId="2136"/>
    <cellStyle name="Comma [0] 10 17" xfId="2135"/>
    <cellStyle name="Comma [0] 10 18" xfId="2134"/>
    <cellStyle name="Comma [0] 10 19" xfId="2133"/>
    <cellStyle name="Comma [0] 10 2" xfId="2132"/>
    <cellStyle name="Comma [0] 10 20" xfId="2131"/>
    <cellStyle name="Comma [0] 10 3" xfId="2130"/>
    <cellStyle name="Comma [0] 10 4" xfId="2129"/>
    <cellStyle name="Comma [0] 10 5" xfId="2128"/>
    <cellStyle name="Comma [0] 10 6" xfId="2127"/>
    <cellStyle name="Comma [0] 10 7" xfId="2126"/>
    <cellStyle name="Comma [0] 10 8" xfId="2125"/>
    <cellStyle name="Comma [0] 10 9" xfId="2124"/>
    <cellStyle name="Comma [0] 11" xfId="787"/>
    <cellStyle name="Comma [0] 11 10" xfId="2123"/>
    <cellStyle name="Comma [0] 11 11" xfId="2122"/>
    <cellStyle name="Comma [0] 11 12" xfId="2121"/>
    <cellStyle name="Comma [0] 11 13" xfId="2120"/>
    <cellStyle name="Comma [0] 11 14" xfId="2119"/>
    <cellStyle name="Comma [0] 11 15" xfId="2118"/>
    <cellStyle name="Comma [0] 11 16" xfId="2117"/>
    <cellStyle name="Comma [0] 11 17" xfId="2116"/>
    <cellStyle name="Comma [0] 11 18" xfId="2115"/>
    <cellStyle name="Comma [0] 11 19" xfId="2114"/>
    <cellStyle name="Comma [0] 11 2" xfId="2113"/>
    <cellStyle name="Comma [0] 11 20" xfId="2112"/>
    <cellStyle name="Comma [0] 11 3" xfId="2111"/>
    <cellStyle name="Comma [0] 11 4" xfId="2110"/>
    <cellStyle name="Comma [0] 11 5" xfId="2109"/>
    <cellStyle name="Comma [0] 11 6" xfId="2108"/>
    <cellStyle name="Comma [0] 11 7" xfId="2107"/>
    <cellStyle name="Comma [0] 11 8" xfId="2106"/>
    <cellStyle name="Comma [0] 11 9" xfId="2105"/>
    <cellStyle name="Comma [0] 12" xfId="788"/>
    <cellStyle name="Comma [0] 12 10" xfId="2104"/>
    <cellStyle name="Comma [0] 12 11" xfId="2103"/>
    <cellStyle name="Comma [0] 12 12" xfId="2102"/>
    <cellStyle name="Comma [0] 12 13" xfId="2101"/>
    <cellStyle name="Comma [0] 12 14" xfId="2100"/>
    <cellStyle name="Comma [0] 12 15" xfId="2099"/>
    <cellStyle name="Comma [0] 12 16" xfId="2098"/>
    <cellStyle name="Comma [0] 12 17" xfId="2097"/>
    <cellStyle name="Comma [0] 12 18" xfId="2096"/>
    <cellStyle name="Comma [0] 12 19" xfId="2095"/>
    <cellStyle name="Comma [0] 12 2" xfId="2094"/>
    <cellStyle name="Comma [0] 12 20" xfId="2093"/>
    <cellStyle name="Comma [0] 12 3" xfId="2092"/>
    <cellStyle name="Comma [0] 12 4" xfId="2091"/>
    <cellStyle name="Comma [0] 12 5" xfId="2090"/>
    <cellStyle name="Comma [0] 12 6" xfId="2089"/>
    <cellStyle name="Comma [0] 12 7" xfId="2088"/>
    <cellStyle name="Comma [0] 12 8" xfId="2087"/>
    <cellStyle name="Comma [0] 12 9" xfId="2086"/>
    <cellStyle name="Comma [0] 13" xfId="789"/>
    <cellStyle name="Comma [0] 13 10" xfId="2085"/>
    <cellStyle name="Comma [0] 13 11" xfId="2084"/>
    <cellStyle name="Comma [0] 13 12" xfId="2083"/>
    <cellStyle name="Comma [0] 13 13" xfId="2082"/>
    <cellStyle name="Comma [0] 13 14" xfId="2081"/>
    <cellStyle name="Comma [0] 13 15" xfId="2080"/>
    <cellStyle name="Comma [0] 13 16" xfId="2079"/>
    <cellStyle name="Comma [0] 13 17" xfId="2078"/>
    <cellStyle name="Comma [0] 13 18" xfId="2077"/>
    <cellStyle name="Comma [0] 13 19" xfId="2076"/>
    <cellStyle name="Comma [0] 13 2" xfId="2075"/>
    <cellStyle name="Comma [0] 13 20" xfId="2074"/>
    <cellStyle name="Comma [0] 13 3" xfId="2073"/>
    <cellStyle name="Comma [0] 13 4" xfId="2072"/>
    <cellStyle name="Comma [0] 13 5" xfId="2071"/>
    <cellStyle name="Comma [0] 13 6" xfId="2070"/>
    <cellStyle name="Comma [0] 13 7" xfId="2069"/>
    <cellStyle name="Comma [0] 13 8" xfId="2068"/>
    <cellStyle name="Comma [0] 13 9" xfId="2067"/>
    <cellStyle name="Comma [0] 14" xfId="790"/>
    <cellStyle name="Comma [0] 14 10" xfId="2066"/>
    <cellStyle name="Comma [0] 14 11" xfId="2065"/>
    <cellStyle name="Comma [0] 14 12" xfId="2064"/>
    <cellStyle name="Comma [0] 14 13" xfId="2063"/>
    <cellStyle name="Comma [0] 14 14" xfId="2062"/>
    <cellStyle name="Comma [0] 14 15" xfId="2061"/>
    <cellStyle name="Comma [0] 14 16" xfId="2060"/>
    <cellStyle name="Comma [0] 14 17" xfId="2059"/>
    <cellStyle name="Comma [0] 14 18" xfId="2058"/>
    <cellStyle name="Comma [0] 14 19" xfId="2057"/>
    <cellStyle name="Comma [0] 14 2" xfId="2056"/>
    <cellStyle name="Comma [0] 14 20" xfId="2055"/>
    <cellStyle name="Comma [0] 14 3" xfId="2054"/>
    <cellStyle name="Comma [0] 14 4" xfId="2053"/>
    <cellStyle name="Comma [0] 14 5" xfId="2052"/>
    <cellStyle name="Comma [0] 14 6" xfId="2051"/>
    <cellStyle name="Comma [0] 14 7" xfId="2050"/>
    <cellStyle name="Comma [0] 14 8" xfId="2049"/>
    <cellStyle name="Comma [0] 14 9" xfId="2048"/>
    <cellStyle name="Comma [0] 15" xfId="791"/>
    <cellStyle name="Comma [0] 15 10" xfId="2047"/>
    <cellStyle name="Comma [0] 15 11" xfId="2046"/>
    <cellStyle name="Comma [0] 15 12" xfId="2045"/>
    <cellStyle name="Comma [0] 15 13" xfId="2044"/>
    <cellStyle name="Comma [0] 15 14" xfId="2043"/>
    <cellStyle name="Comma [0] 15 15" xfId="2042"/>
    <cellStyle name="Comma [0] 15 16" xfId="2041"/>
    <cellStyle name="Comma [0] 15 17" xfId="2040"/>
    <cellStyle name="Comma [0] 15 18" xfId="2039"/>
    <cellStyle name="Comma [0] 15 19" xfId="2038"/>
    <cellStyle name="Comma [0] 15 2" xfId="2037"/>
    <cellStyle name="Comma [0] 15 20" xfId="2036"/>
    <cellStyle name="Comma [0] 15 3" xfId="2035"/>
    <cellStyle name="Comma [0] 15 4" xfId="2034"/>
    <cellStyle name="Comma [0] 15 5" xfId="2033"/>
    <cellStyle name="Comma [0] 15 6" xfId="2032"/>
    <cellStyle name="Comma [0] 15 7" xfId="2031"/>
    <cellStyle name="Comma [0] 15 8" xfId="2030"/>
    <cellStyle name="Comma [0] 15 9" xfId="2029"/>
    <cellStyle name="Comma [0] 16" xfId="792"/>
    <cellStyle name="Comma [0] 16 10" xfId="2028"/>
    <cellStyle name="Comma [0] 16 11" xfId="2027"/>
    <cellStyle name="Comma [0] 16 12" xfId="2026"/>
    <cellStyle name="Comma [0] 16 13" xfId="2025"/>
    <cellStyle name="Comma [0] 16 14" xfId="2024"/>
    <cellStyle name="Comma [0] 16 15" xfId="2023"/>
    <cellStyle name="Comma [0] 16 16" xfId="2022"/>
    <cellStyle name="Comma [0] 16 17" xfId="2021"/>
    <cellStyle name="Comma [0] 16 18" xfId="2020"/>
    <cellStyle name="Comma [0] 16 19" xfId="2019"/>
    <cellStyle name="Comma [0] 16 2" xfId="2018"/>
    <cellStyle name="Comma [0] 16 20" xfId="2017"/>
    <cellStyle name="Comma [0] 16 3" xfId="2016"/>
    <cellStyle name="Comma [0] 16 4" xfId="2015"/>
    <cellStyle name="Comma [0] 16 5" xfId="2014"/>
    <cellStyle name="Comma [0] 16 6" xfId="2013"/>
    <cellStyle name="Comma [0] 16 7" xfId="2012"/>
    <cellStyle name="Comma [0] 16 8" xfId="2011"/>
    <cellStyle name="Comma [0] 16 9" xfId="2010"/>
    <cellStyle name="Comma [0] 17" xfId="793"/>
    <cellStyle name="Comma [0] 17 10" xfId="2009"/>
    <cellStyle name="Comma [0] 17 11" xfId="2008"/>
    <cellStyle name="Comma [0] 17 12" xfId="2007"/>
    <cellStyle name="Comma [0] 17 13" xfId="2006"/>
    <cellStyle name="Comma [0] 17 14" xfId="2005"/>
    <cellStyle name="Comma [0] 17 15" xfId="2004"/>
    <cellStyle name="Comma [0] 17 16" xfId="2003"/>
    <cellStyle name="Comma [0] 17 17" xfId="2002"/>
    <cellStyle name="Comma [0] 17 18" xfId="2001"/>
    <cellStyle name="Comma [0] 17 19" xfId="2000"/>
    <cellStyle name="Comma [0] 17 2" xfId="1999"/>
    <cellStyle name="Comma [0] 17 20" xfId="1998"/>
    <cellStyle name="Comma [0] 17 3" xfId="1997"/>
    <cellStyle name="Comma [0] 17 4" xfId="1996"/>
    <cellStyle name="Comma [0] 17 5" xfId="1995"/>
    <cellStyle name="Comma [0] 17 6" xfId="1994"/>
    <cellStyle name="Comma [0] 17 7" xfId="1993"/>
    <cellStyle name="Comma [0] 17 8" xfId="1992"/>
    <cellStyle name="Comma [0] 17 9" xfId="1991"/>
    <cellStyle name="Comma [0] 18" xfId="794"/>
    <cellStyle name="Comma [0] 18 10" xfId="1990"/>
    <cellStyle name="Comma [0] 18 11" xfId="1989"/>
    <cellStyle name="Comma [0] 18 12" xfId="1988"/>
    <cellStyle name="Comma [0] 18 13" xfId="1987"/>
    <cellStyle name="Comma [0] 18 14" xfId="1986"/>
    <cellStyle name="Comma [0] 18 15" xfId="1985"/>
    <cellStyle name="Comma [0] 18 16" xfId="1984"/>
    <cellStyle name="Comma [0] 18 17" xfId="1983"/>
    <cellStyle name="Comma [0] 18 18" xfId="1982"/>
    <cellStyle name="Comma [0] 18 19" xfId="1981"/>
    <cellStyle name="Comma [0] 18 2" xfId="1980"/>
    <cellStyle name="Comma [0] 18 20" xfId="1979"/>
    <cellStyle name="Comma [0] 18 3" xfId="1978"/>
    <cellStyle name="Comma [0] 18 4" xfId="1977"/>
    <cellStyle name="Comma [0] 18 5" xfId="1976"/>
    <cellStyle name="Comma [0] 18 6" xfId="1975"/>
    <cellStyle name="Comma [0] 18 7" xfId="1974"/>
    <cellStyle name="Comma [0] 18 8" xfId="1973"/>
    <cellStyle name="Comma [0] 18 9" xfId="1972"/>
    <cellStyle name="Comma [0] 19" xfId="795"/>
    <cellStyle name="Comma [0] 19 10" xfId="1971"/>
    <cellStyle name="Comma [0] 19 11" xfId="1970"/>
    <cellStyle name="Comma [0] 19 12" xfId="1969"/>
    <cellStyle name="Comma [0] 19 13" xfId="1968"/>
    <cellStyle name="Comma [0] 19 14" xfId="1967"/>
    <cellStyle name="Comma [0] 19 15" xfId="1966"/>
    <cellStyle name="Comma [0] 19 16" xfId="1965"/>
    <cellStyle name="Comma [0] 19 17" xfId="1964"/>
    <cellStyle name="Comma [0] 19 18" xfId="1963"/>
    <cellStyle name="Comma [0] 19 19" xfId="1962"/>
    <cellStyle name="Comma [0] 19 2" xfId="1961"/>
    <cellStyle name="Comma [0] 19 20" xfId="1960"/>
    <cellStyle name="Comma [0] 19 3" xfId="1959"/>
    <cellStyle name="Comma [0] 19 4" xfId="1958"/>
    <cellStyle name="Comma [0] 19 5" xfId="1957"/>
    <cellStyle name="Comma [0] 19 6" xfId="1956"/>
    <cellStyle name="Comma [0] 19 7" xfId="1955"/>
    <cellStyle name="Comma [0] 19 8" xfId="1954"/>
    <cellStyle name="Comma [0] 19 9" xfId="1953"/>
    <cellStyle name="Comma [0] 2" xfId="796"/>
    <cellStyle name="Comma [0] 2 2" xfId="1952"/>
    <cellStyle name="Comma [0] 2 3" xfId="1951"/>
    <cellStyle name="Comma [0] 2 4" xfId="1950"/>
    <cellStyle name="Comma [0] 20" xfId="797"/>
    <cellStyle name="Comma [0] 20 10" xfId="1949"/>
    <cellStyle name="Comma [0] 20 11" xfId="1948"/>
    <cellStyle name="Comma [0] 20 12" xfId="1947"/>
    <cellStyle name="Comma [0] 20 13" xfId="1946"/>
    <cellStyle name="Comma [0] 20 14" xfId="1945"/>
    <cellStyle name="Comma [0] 20 15" xfId="1944"/>
    <cellStyle name="Comma [0] 20 16" xfId="1943"/>
    <cellStyle name="Comma [0] 20 17" xfId="1942"/>
    <cellStyle name="Comma [0] 20 18" xfId="1941"/>
    <cellStyle name="Comma [0] 20 19" xfId="1940"/>
    <cellStyle name="Comma [0] 20 2" xfId="1939"/>
    <cellStyle name="Comma [0] 20 20" xfId="1938"/>
    <cellStyle name="Comma [0] 20 3" xfId="1937"/>
    <cellStyle name="Comma [0] 20 4" xfId="1936"/>
    <cellStyle name="Comma [0] 20 5" xfId="1935"/>
    <cellStyle name="Comma [0] 20 6" xfId="1934"/>
    <cellStyle name="Comma [0] 20 7" xfId="1933"/>
    <cellStyle name="Comma [0] 20 8" xfId="1932"/>
    <cellStyle name="Comma [0] 20 9" xfId="1931"/>
    <cellStyle name="Comma [0] 21" xfId="798"/>
    <cellStyle name="Comma [0] 21 10" xfId="1930"/>
    <cellStyle name="Comma [0] 21 11" xfId="1929"/>
    <cellStyle name="Comma [0] 21 12" xfId="1928"/>
    <cellStyle name="Comma [0] 21 13" xfId="1927"/>
    <cellStyle name="Comma [0] 21 14" xfId="1926"/>
    <cellStyle name="Comma [0] 21 15" xfId="1925"/>
    <cellStyle name="Comma [0] 21 16" xfId="1924"/>
    <cellStyle name="Comma [0] 21 17" xfId="1923"/>
    <cellStyle name="Comma [0] 21 18" xfId="1922"/>
    <cellStyle name="Comma [0] 21 19" xfId="1921"/>
    <cellStyle name="Comma [0] 21 2" xfId="1920"/>
    <cellStyle name="Comma [0] 21 20" xfId="1919"/>
    <cellStyle name="Comma [0] 21 3" xfId="1918"/>
    <cellStyle name="Comma [0] 21 4" xfId="1917"/>
    <cellStyle name="Comma [0] 21 5" xfId="1916"/>
    <cellStyle name="Comma [0] 21 6" xfId="1915"/>
    <cellStyle name="Comma [0] 21 7" xfId="1914"/>
    <cellStyle name="Comma [0] 21 8" xfId="1913"/>
    <cellStyle name="Comma [0] 21 9" xfId="1912"/>
    <cellStyle name="Comma [0] 22" xfId="799"/>
    <cellStyle name="Comma [0] 22 10" xfId="1911"/>
    <cellStyle name="Comma [0] 22 11" xfId="1910"/>
    <cellStyle name="Comma [0] 22 12" xfId="1909"/>
    <cellStyle name="Comma [0] 22 13" xfId="1908"/>
    <cellStyle name="Comma [0] 22 14" xfId="1907"/>
    <cellStyle name="Comma [0] 22 15" xfId="1906"/>
    <cellStyle name="Comma [0] 22 16" xfId="1905"/>
    <cellStyle name="Comma [0] 22 17" xfId="1904"/>
    <cellStyle name="Comma [0] 22 18" xfId="1903"/>
    <cellStyle name="Comma [0] 22 19" xfId="1902"/>
    <cellStyle name="Comma [0] 22 2" xfId="1901"/>
    <cellStyle name="Comma [0] 22 20" xfId="1900"/>
    <cellStyle name="Comma [0] 22 3" xfId="1899"/>
    <cellStyle name="Comma [0] 22 4" xfId="1898"/>
    <cellStyle name="Comma [0] 22 5" xfId="1897"/>
    <cellStyle name="Comma [0] 22 6" xfId="1896"/>
    <cellStyle name="Comma [0] 22 7" xfId="1895"/>
    <cellStyle name="Comma [0] 22 8" xfId="1894"/>
    <cellStyle name="Comma [0] 22 9" xfId="1893"/>
    <cellStyle name="Comma [0] 23" xfId="800"/>
    <cellStyle name="Comma [0] 24" xfId="801"/>
    <cellStyle name="Comma [0] 24 10" xfId="1892"/>
    <cellStyle name="Comma [0] 24 11" xfId="1891"/>
    <cellStyle name="Comma [0] 24 12" xfId="1890"/>
    <cellStyle name="Comma [0] 24 13" xfId="1889"/>
    <cellStyle name="Comma [0] 24 14" xfId="1888"/>
    <cellStyle name="Comma [0] 24 2" xfId="1887"/>
    <cellStyle name="Comma [0] 24 3" xfId="1886"/>
    <cellStyle name="Comma [0] 24 4" xfId="1885"/>
    <cellStyle name="Comma [0] 24 5" xfId="1884"/>
    <cellStyle name="Comma [0] 24 6" xfId="1883"/>
    <cellStyle name="Comma [0] 24 7" xfId="1882"/>
    <cellStyle name="Comma [0] 24 8" xfId="1881"/>
    <cellStyle name="Comma [0] 24 9" xfId="1880"/>
    <cellStyle name="Comma [0] 25" xfId="802"/>
    <cellStyle name="Comma [0] 25 10" xfId="1879"/>
    <cellStyle name="Comma [0] 25 11" xfId="1878"/>
    <cellStyle name="Comma [0] 25 12" xfId="1877"/>
    <cellStyle name="Comma [0] 25 13" xfId="1876"/>
    <cellStyle name="Comma [0] 25 14" xfId="1875"/>
    <cellStyle name="Comma [0] 25 2" xfId="1874"/>
    <cellStyle name="Comma [0] 25 3" xfId="1873"/>
    <cellStyle name="Comma [0] 25 4" xfId="1872"/>
    <cellStyle name="Comma [0] 25 5" xfId="1871"/>
    <cellStyle name="Comma [0] 25 6" xfId="1870"/>
    <cellStyle name="Comma [0] 25 7" xfId="1869"/>
    <cellStyle name="Comma [0] 25 8" xfId="1868"/>
    <cellStyle name="Comma [0] 25 9" xfId="1867"/>
    <cellStyle name="Comma [0] 26" xfId="803"/>
    <cellStyle name="Comma [0] 27" xfId="804"/>
    <cellStyle name="Comma [0] 28" xfId="805"/>
    <cellStyle name="Comma [0] 29" xfId="806"/>
    <cellStyle name="Comma [0] 3" xfId="807"/>
    <cellStyle name="Comma [0] 30" xfId="1866"/>
    <cellStyle name="Comma [0] 31" xfId="1865"/>
    <cellStyle name="Comma [0] 32" xfId="1864"/>
    <cellStyle name="Comma [0] 33" xfId="1863"/>
    <cellStyle name="Comma [0] 34" xfId="1862"/>
    <cellStyle name="Comma [0] 4" xfId="808"/>
    <cellStyle name="Comma [0] 5" xfId="809"/>
    <cellStyle name="Comma [0] 6" xfId="810"/>
    <cellStyle name="Comma [0] 7" xfId="811"/>
    <cellStyle name="Comma [0] 7 10" xfId="1861"/>
    <cellStyle name="Comma [0] 7 11" xfId="1860"/>
    <cellStyle name="Comma [0] 7 12" xfId="1859"/>
    <cellStyle name="Comma [0] 7 13" xfId="1858"/>
    <cellStyle name="Comma [0] 7 14" xfId="1857"/>
    <cellStyle name="Comma [0] 7 15" xfId="1856"/>
    <cellStyle name="Comma [0] 7 16" xfId="1855"/>
    <cellStyle name="Comma [0] 7 17" xfId="1854"/>
    <cellStyle name="Comma [0] 7 18" xfId="1853"/>
    <cellStyle name="Comma [0] 7 19" xfId="1852"/>
    <cellStyle name="Comma [0] 7 2" xfId="1851"/>
    <cellStyle name="Comma [0] 7 20" xfId="1850"/>
    <cellStyle name="Comma [0] 7 3" xfId="1849"/>
    <cellStyle name="Comma [0] 7 4" xfId="1848"/>
    <cellStyle name="Comma [0] 7 5" xfId="1847"/>
    <cellStyle name="Comma [0] 7 6" xfId="1846"/>
    <cellStyle name="Comma [0] 7 7" xfId="1845"/>
    <cellStyle name="Comma [0] 7 8" xfId="1844"/>
    <cellStyle name="Comma [0] 7 9" xfId="1843"/>
    <cellStyle name="Comma [0] 8" xfId="812"/>
    <cellStyle name="Comma [0] 8 10" xfId="1842"/>
    <cellStyle name="Comma [0] 8 11" xfId="1841"/>
    <cellStyle name="Comma [0] 8 12" xfId="1840"/>
    <cellStyle name="Comma [0] 8 13" xfId="1839"/>
    <cellStyle name="Comma [0] 8 14" xfId="1838"/>
    <cellStyle name="Comma [0] 8 15" xfId="1837"/>
    <cellStyle name="Comma [0] 8 16" xfId="1836"/>
    <cellStyle name="Comma [0] 8 17" xfId="1835"/>
    <cellStyle name="Comma [0] 8 18" xfId="1834"/>
    <cellStyle name="Comma [0] 8 19" xfId="1833"/>
    <cellStyle name="Comma [0] 8 2" xfId="1832"/>
    <cellStyle name="Comma [0] 8 20" xfId="1831"/>
    <cellStyle name="Comma [0] 8 3" xfId="1830"/>
    <cellStyle name="Comma [0] 8 4" xfId="1829"/>
    <cellStyle name="Comma [0] 8 5" xfId="1828"/>
    <cellStyle name="Comma [0] 8 6" xfId="1827"/>
    <cellStyle name="Comma [0] 8 7" xfId="1826"/>
    <cellStyle name="Comma [0] 8 8" xfId="1825"/>
    <cellStyle name="Comma [0] 8 9" xfId="1824"/>
    <cellStyle name="Comma [0] 9" xfId="813"/>
    <cellStyle name="Comma [0] 9 10" xfId="1823"/>
    <cellStyle name="Comma [0] 9 11" xfId="1822"/>
    <cellStyle name="Comma [0] 9 12" xfId="1821"/>
    <cellStyle name="Comma [0] 9 13" xfId="1820"/>
    <cellStyle name="Comma [0] 9 14" xfId="1819"/>
    <cellStyle name="Comma [0] 9 15" xfId="1818"/>
    <cellStyle name="Comma [0] 9 16" xfId="1817"/>
    <cellStyle name="Comma [0] 9 17" xfId="1816"/>
    <cellStyle name="Comma [0] 9 18" xfId="1815"/>
    <cellStyle name="Comma [0] 9 19" xfId="1814"/>
    <cellStyle name="Comma [0] 9 2" xfId="1813"/>
    <cellStyle name="Comma [0] 9 20" xfId="1812"/>
    <cellStyle name="Comma [0] 9 3" xfId="1811"/>
    <cellStyle name="Comma [0] 9 4" xfId="1810"/>
    <cellStyle name="Comma [0] 9 5" xfId="1809"/>
    <cellStyle name="Comma [0] 9 6" xfId="1808"/>
    <cellStyle name="Comma [0] 9 7" xfId="1807"/>
    <cellStyle name="Comma [0] 9 8" xfId="1806"/>
    <cellStyle name="Comma [0] 9 9" xfId="1805"/>
    <cellStyle name="Comma 10" xfId="814"/>
    <cellStyle name="Comma 10 10" xfId="1804"/>
    <cellStyle name="Comma 10 11" xfId="1803"/>
    <cellStyle name="Comma 10 12" xfId="1802"/>
    <cellStyle name="Comma 10 13" xfId="1801"/>
    <cellStyle name="Comma 10 14" xfId="1800"/>
    <cellStyle name="Comma 10 15" xfId="1799"/>
    <cellStyle name="Comma 10 16" xfId="1798"/>
    <cellStyle name="Comma 10 17" xfId="1797"/>
    <cellStyle name="Comma 10 18" xfId="1796"/>
    <cellStyle name="Comma 10 19" xfId="1795"/>
    <cellStyle name="Comma 10 2" xfId="1794"/>
    <cellStyle name="Comma 10 20" xfId="1793"/>
    <cellStyle name="Comma 10 3" xfId="1792"/>
    <cellStyle name="Comma 10 4" xfId="1791"/>
    <cellStyle name="Comma 10 5" xfId="1790"/>
    <cellStyle name="Comma 10 6" xfId="1789"/>
    <cellStyle name="Comma 10 7" xfId="1788"/>
    <cellStyle name="Comma 10 8" xfId="1787"/>
    <cellStyle name="Comma 10 9" xfId="1786"/>
    <cellStyle name="Comma 100" xfId="815"/>
    <cellStyle name="Comma 101" xfId="816"/>
    <cellStyle name="Comma 102" xfId="1503"/>
    <cellStyle name="Comma 102 2" xfId="2927"/>
    <cellStyle name="Comma 103" xfId="2929"/>
    <cellStyle name="Comma 104" xfId="2928"/>
    <cellStyle name="Comma 105" xfId="1508"/>
    <cellStyle name="Comma 11" xfId="817"/>
    <cellStyle name="Comma 11 10" xfId="1785"/>
    <cellStyle name="Comma 11 11" xfId="1784"/>
    <cellStyle name="Comma 11 12" xfId="1783"/>
    <cellStyle name="Comma 11 13" xfId="1782"/>
    <cellStyle name="Comma 11 14" xfId="1781"/>
    <cellStyle name="Comma 11 15" xfId="1780"/>
    <cellStyle name="Comma 11 16" xfId="1779"/>
    <cellStyle name="Comma 11 17" xfId="1778"/>
    <cellStyle name="Comma 11 18" xfId="1777"/>
    <cellStyle name="Comma 11 19" xfId="1776"/>
    <cellStyle name="Comma 11 2" xfId="1775"/>
    <cellStyle name="Comma 11 20" xfId="1774"/>
    <cellStyle name="Comma 11 3" xfId="1773"/>
    <cellStyle name="Comma 11 4" xfId="1772"/>
    <cellStyle name="Comma 11 5" xfId="1771"/>
    <cellStyle name="Comma 11 6" xfId="1770"/>
    <cellStyle name="Comma 11 7" xfId="1769"/>
    <cellStyle name="Comma 11 8" xfId="1768"/>
    <cellStyle name="Comma 11 9" xfId="1767"/>
    <cellStyle name="Comma 12" xfId="818"/>
    <cellStyle name="Comma 12 10" xfId="1766"/>
    <cellStyle name="Comma 12 11" xfId="1765"/>
    <cellStyle name="Comma 12 12" xfId="1764"/>
    <cellStyle name="Comma 12 13" xfId="1763"/>
    <cellStyle name="Comma 12 14" xfId="1762"/>
    <cellStyle name="Comma 12 15" xfId="1761"/>
    <cellStyle name="Comma 12 16" xfId="1760"/>
    <cellStyle name="Comma 12 17" xfId="1759"/>
    <cellStyle name="Comma 12 18" xfId="1758"/>
    <cellStyle name="Comma 12 19" xfId="1757"/>
    <cellStyle name="Comma 12 2" xfId="1756"/>
    <cellStyle name="Comma 12 20" xfId="1755"/>
    <cellStyle name="Comma 12 3" xfId="1754"/>
    <cellStyle name="Comma 12 4" xfId="1753"/>
    <cellStyle name="Comma 12 5" xfId="1752"/>
    <cellStyle name="Comma 12 6" xfId="1751"/>
    <cellStyle name="Comma 12 7" xfId="1750"/>
    <cellStyle name="Comma 12 8" xfId="1749"/>
    <cellStyle name="Comma 12 9" xfId="1748"/>
    <cellStyle name="Comma 13" xfId="819"/>
    <cellStyle name="Comma 13 10" xfId="1747"/>
    <cellStyle name="Comma 13 11" xfId="1746"/>
    <cellStyle name="Comma 13 12" xfId="1745"/>
    <cellStyle name="Comma 13 13" xfId="1744"/>
    <cellStyle name="Comma 13 14" xfId="1743"/>
    <cellStyle name="Comma 13 15" xfId="1742"/>
    <cellStyle name="Comma 13 16" xfId="1741"/>
    <cellStyle name="Comma 13 17" xfId="1740"/>
    <cellStyle name="Comma 13 18" xfId="1739"/>
    <cellStyle name="Comma 13 19" xfId="1738"/>
    <cellStyle name="Comma 13 2" xfId="1737"/>
    <cellStyle name="Comma 13 20" xfId="1736"/>
    <cellStyle name="Comma 13 3" xfId="1735"/>
    <cellStyle name="Comma 13 4" xfId="1734"/>
    <cellStyle name="Comma 13 5" xfId="1733"/>
    <cellStyle name="Comma 13 6" xfId="1732"/>
    <cellStyle name="Comma 13 7" xfId="1731"/>
    <cellStyle name="Comma 13 8" xfId="1730"/>
    <cellStyle name="Comma 13 9" xfId="1729"/>
    <cellStyle name="Comma 14" xfId="820"/>
    <cellStyle name="Comma 14 10" xfId="1728"/>
    <cellStyle name="Comma 14 11" xfId="1727"/>
    <cellStyle name="Comma 14 12" xfId="1726"/>
    <cellStyle name="Comma 14 13" xfId="1725"/>
    <cellStyle name="Comma 14 14" xfId="1724"/>
    <cellStyle name="Comma 14 15" xfId="1723"/>
    <cellStyle name="Comma 14 16" xfId="1722"/>
    <cellStyle name="Comma 14 17" xfId="1721"/>
    <cellStyle name="Comma 14 18" xfId="1720"/>
    <cellStyle name="Comma 14 19" xfId="1719"/>
    <cellStyle name="Comma 14 2" xfId="1718"/>
    <cellStyle name="Comma 14 20" xfId="1717"/>
    <cellStyle name="Comma 14 3" xfId="1716"/>
    <cellStyle name="Comma 14 4" xfId="1715"/>
    <cellStyle name="Comma 14 5" xfId="1714"/>
    <cellStyle name="Comma 14 6" xfId="1713"/>
    <cellStyle name="Comma 14 7" xfId="1712"/>
    <cellStyle name="Comma 14 8" xfId="1711"/>
    <cellStyle name="Comma 14 9" xfId="1710"/>
    <cellStyle name="Comma 15" xfId="821"/>
    <cellStyle name="Comma 15 10" xfId="1709"/>
    <cellStyle name="Comma 15 11" xfId="1708"/>
    <cellStyle name="Comma 15 12" xfId="1707"/>
    <cellStyle name="Comma 15 13" xfId="1706"/>
    <cellStyle name="Comma 15 14" xfId="1705"/>
    <cellStyle name="Comma 15 15" xfId="1704"/>
    <cellStyle name="Comma 15 16" xfId="1703"/>
    <cellStyle name="Comma 15 17" xfId="1702"/>
    <cellStyle name="Comma 15 18" xfId="1701"/>
    <cellStyle name="Comma 15 19" xfId="1700"/>
    <cellStyle name="Comma 15 2" xfId="1699"/>
    <cellStyle name="Comma 15 20" xfId="1698"/>
    <cellStyle name="Comma 15 3" xfId="1697"/>
    <cellStyle name="Comma 15 4" xfId="1696"/>
    <cellStyle name="Comma 15 5" xfId="1695"/>
    <cellStyle name="Comma 15 6" xfId="1694"/>
    <cellStyle name="Comma 15 7" xfId="1693"/>
    <cellStyle name="Comma 15 8" xfId="1692"/>
    <cellStyle name="Comma 15 9" xfId="1691"/>
    <cellStyle name="Comma 16" xfId="822"/>
    <cellStyle name="Comma 16 10" xfId="1690"/>
    <cellStyle name="Comma 16 11" xfId="1689"/>
    <cellStyle name="Comma 16 12" xfId="1688"/>
    <cellStyle name="Comma 16 13" xfId="1687"/>
    <cellStyle name="Comma 16 14" xfId="1686"/>
    <cellStyle name="Comma 16 15" xfId="1685"/>
    <cellStyle name="Comma 16 16" xfId="1684"/>
    <cellStyle name="Comma 16 17" xfId="1683"/>
    <cellStyle name="Comma 16 18" xfId="1682"/>
    <cellStyle name="Comma 16 19" xfId="1681"/>
    <cellStyle name="Comma 16 2" xfId="1680"/>
    <cellStyle name="Comma 16 20" xfId="1679"/>
    <cellStyle name="Comma 16 3" xfId="1678"/>
    <cellStyle name="Comma 16 4" xfId="1677"/>
    <cellStyle name="Comma 16 5" xfId="1676"/>
    <cellStyle name="Comma 16 6" xfId="1675"/>
    <cellStyle name="Comma 16 7" xfId="1674"/>
    <cellStyle name="Comma 16 8" xfId="1673"/>
    <cellStyle name="Comma 16 9" xfId="1672"/>
    <cellStyle name="Comma 17" xfId="823"/>
    <cellStyle name="Comma 17 10" xfId="1671"/>
    <cellStyle name="Comma 17 11" xfId="1670"/>
    <cellStyle name="Comma 17 12" xfId="1669"/>
    <cellStyle name="Comma 17 13" xfId="1668"/>
    <cellStyle name="Comma 17 14" xfId="1667"/>
    <cellStyle name="Comma 17 15" xfId="1666"/>
    <cellStyle name="Comma 17 16" xfId="1665"/>
    <cellStyle name="Comma 17 17" xfId="1664"/>
    <cellStyle name="Comma 17 18" xfId="1663"/>
    <cellStyle name="Comma 17 19" xfId="1662"/>
    <cellStyle name="Comma 17 2" xfId="1661"/>
    <cellStyle name="Comma 17 20" xfId="1660"/>
    <cellStyle name="Comma 17 3" xfId="1659"/>
    <cellStyle name="Comma 17 4" xfId="1658"/>
    <cellStyle name="Comma 17 5" xfId="1657"/>
    <cellStyle name="Comma 17 6" xfId="1656"/>
    <cellStyle name="Comma 17 7" xfId="1655"/>
    <cellStyle name="Comma 17 8" xfId="1654"/>
    <cellStyle name="Comma 17 9" xfId="1653"/>
    <cellStyle name="Comma 18" xfId="824"/>
    <cellStyle name="Comma 18 10" xfId="1652"/>
    <cellStyle name="Comma 18 11" xfId="1651"/>
    <cellStyle name="Comma 18 12" xfId="1650"/>
    <cellStyle name="Comma 18 13" xfId="1649"/>
    <cellStyle name="Comma 18 14" xfId="1648"/>
    <cellStyle name="Comma 18 15" xfId="1647"/>
    <cellStyle name="Comma 18 16" xfId="1646"/>
    <cellStyle name="Comma 18 17" xfId="1645"/>
    <cellStyle name="Comma 18 18" xfId="1644"/>
    <cellStyle name="Comma 18 19" xfId="1643"/>
    <cellStyle name="Comma 18 2" xfId="1642"/>
    <cellStyle name="Comma 18 20" xfId="1641"/>
    <cellStyle name="Comma 18 3" xfId="1640"/>
    <cellStyle name="Comma 18 4" xfId="1639"/>
    <cellStyle name="Comma 18 5" xfId="1638"/>
    <cellStyle name="Comma 18 6" xfId="1637"/>
    <cellStyle name="Comma 18 7" xfId="1636"/>
    <cellStyle name="Comma 18 8" xfId="1635"/>
    <cellStyle name="Comma 18 9" xfId="1634"/>
    <cellStyle name="Comma 19" xfId="825"/>
    <cellStyle name="Comma 19 10" xfId="1633"/>
    <cellStyle name="Comma 19 11" xfId="1632"/>
    <cellStyle name="Comma 19 12" xfId="1631"/>
    <cellStyle name="Comma 19 13" xfId="1630"/>
    <cellStyle name="Comma 19 14" xfId="1629"/>
    <cellStyle name="Comma 19 15" xfId="1628"/>
    <cellStyle name="Comma 19 16" xfId="1627"/>
    <cellStyle name="Comma 19 17" xfId="1626"/>
    <cellStyle name="Comma 19 18" xfId="1625"/>
    <cellStyle name="Comma 19 19" xfId="1624"/>
    <cellStyle name="Comma 19 2" xfId="1623"/>
    <cellStyle name="Comma 19 20" xfId="1622"/>
    <cellStyle name="Comma 19 3" xfId="1621"/>
    <cellStyle name="Comma 19 4" xfId="1620"/>
    <cellStyle name="Comma 19 5" xfId="1619"/>
    <cellStyle name="Comma 19 6" xfId="1618"/>
    <cellStyle name="Comma 19 7" xfId="1617"/>
    <cellStyle name="Comma 19 8" xfId="1616"/>
    <cellStyle name="Comma 19 9" xfId="1615"/>
    <cellStyle name="Comma 2" xfId="826"/>
    <cellStyle name="Comma 2 10" xfId="1614"/>
    <cellStyle name="Comma 2 11" xfId="1613"/>
    <cellStyle name="Comma 2 12" xfId="1612"/>
    <cellStyle name="Comma 2 13" xfId="1611"/>
    <cellStyle name="Comma 2 14" xfId="1610"/>
    <cellStyle name="Comma 2 15" xfId="1609"/>
    <cellStyle name="Comma 2 16" xfId="1608"/>
    <cellStyle name="Comma 2 17" xfId="1607"/>
    <cellStyle name="Comma 2 18" xfId="1606"/>
    <cellStyle name="Comma 2 19" xfId="1605"/>
    <cellStyle name="Comma 2 2" xfId="1604"/>
    <cellStyle name="Comma 2 2 2" xfId="1603"/>
    <cellStyle name="Comma 2 20" xfId="1602"/>
    <cellStyle name="Comma 2 21" xfId="1601"/>
    <cellStyle name="Comma 2 22" xfId="1600"/>
    <cellStyle name="Comma 2 23" xfId="1599"/>
    <cellStyle name="Comma 2 24" xfId="1598"/>
    <cellStyle name="Comma 2 25" xfId="1597"/>
    <cellStyle name="Comma 2 26" xfId="1596"/>
    <cellStyle name="Comma 2 27" xfId="1595"/>
    <cellStyle name="Comma 2 28" xfId="1594"/>
    <cellStyle name="Comma 2 29" xfId="1593"/>
    <cellStyle name="Comma 2 3" xfId="1592"/>
    <cellStyle name="Comma 2 30" xfId="1591"/>
    <cellStyle name="Comma 2 31" xfId="1590"/>
    <cellStyle name="Comma 2 32" xfId="1589"/>
    <cellStyle name="Comma 2 33" xfId="1588"/>
    <cellStyle name="Comma 2 34" xfId="1587"/>
    <cellStyle name="Comma 2 35" xfId="1586"/>
    <cellStyle name="Comma 2 36" xfId="1585"/>
    <cellStyle name="Comma 2 37" xfId="1584"/>
    <cellStyle name="Comma 2 38" xfId="1583"/>
    <cellStyle name="Comma 2 39" xfId="1582"/>
    <cellStyle name="Comma 2 4" xfId="1581"/>
    <cellStyle name="Comma 2 40" xfId="1580"/>
    <cellStyle name="Comma 2 41" xfId="1579"/>
    <cellStyle name="Comma 2 42" xfId="1578"/>
    <cellStyle name="Comma 2 43" xfId="1577"/>
    <cellStyle name="Comma 2 44" xfId="1576"/>
    <cellStyle name="Comma 2 5" xfId="1575"/>
    <cellStyle name="Comma 2 6" xfId="1574"/>
    <cellStyle name="Comma 2 7" xfId="1573"/>
    <cellStyle name="Comma 2 8" xfId="1572"/>
    <cellStyle name="Comma 2 9" xfId="1571"/>
    <cellStyle name="Comma 20" xfId="827"/>
    <cellStyle name="Comma 20 10" xfId="1570"/>
    <cellStyle name="Comma 20 11" xfId="1569"/>
    <cellStyle name="Comma 20 12" xfId="1568"/>
    <cellStyle name="Comma 20 13" xfId="1567"/>
    <cellStyle name="Comma 20 14" xfId="1566"/>
    <cellStyle name="Comma 20 15" xfId="1565"/>
    <cellStyle name="Comma 20 16" xfId="1564"/>
    <cellStyle name="Comma 20 17" xfId="1563"/>
    <cellStyle name="Comma 20 18" xfId="1562"/>
    <cellStyle name="Comma 20 19" xfId="1561"/>
    <cellStyle name="Comma 20 2" xfId="1560"/>
    <cellStyle name="Comma 20 20" xfId="1559"/>
    <cellStyle name="Comma 20 3" xfId="1558"/>
    <cellStyle name="Comma 20 4" xfId="1557"/>
    <cellStyle name="Comma 20 5" xfId="1556"/>
    <cellStyle name="Comma 20 6" xfId="1555"/>
    <cellStyle name="Comma 20 7" xfId="1554"/>
    <cellStyle name="Comma 20 8" xfId="1553"/>
    <cellStyle name="Comma 20 9" xfId="1552"/>
    <cellStyle name="Comma 21" xfId="828"/>
    <cellStyle name="Comma 21 10" xfId="1551"/>
    <cellStyle name="Comma 21 11" xfId="1550"/>
    <cellStyle name="Comma 21 12" xfId="1549"/>
    <cellStyle name="Comma 21 13" xfId="1548"/>
    <cellStyle name="Comma 21 14" xfId="1525"/>
    <cellStyle name="Comma 21 15" xfId="1529"/>
    <cellStyle name="Comma 21 16" xfId="1533"/>
    <cellStyle name="Comma 21 17" xfId="1537"/>
    <cellStyle name="Comma 21 18" xfId="1541"/>
    <cellStyle name="Comma 21 19" xfId="1545"/>
    <cellStyle name="Comma 21 2" xfId="1526"/>
    <cellStyle name="Comma 21 20" xfId="1530"/>
    <cellStyle name="Comma 21 3" xfId="1534"/>
    <cellStyle name="Comma 21 4" xfId="1538"/>
    <cellStyle name="Comma 21 5" xfId="1542"/>
    <cellStyle name="Comma 21 6" xfId="1546"/>
    <cellStyle name="Comma 21 7" xfId="1527"/>
    <cellStyle name="Comma 21 8" xfId="1531"/>
    <cellStyle name="Comma 21 9" xfId="1535"/>
    <cellStyle name="Comma 22" xfId="829"/>
    <cellStyle name="Comma 22 10" xfId="1539"/>
    <cellStyle name="Comma 22 11" xfId="1543"/>
    <cellStyle name="Comma 22 12" xfId="1547"/>
    <cellStyle name="Comma 22 13" xfId="1524"/>
    <cellStyle name="Comma 22 14" xfId="1528"/>
    <cellStyle name="Comma 22 15" xfId="1532"/>
    <cellStyle name="Comma 22 16" xfId="1536"/>
    <cellStyle name="Comma 22 17" xfId="1540"/>
    <cellStyle name="Comma 22 18" xfId="1544"/>
    <cellStyle name="Comma 22 19" xfId="1514"/>
    <cellStyle name="Comma 22 2" xfId="1518"/>
    <cellStyle name="Comma 22 20" xfId="1520"/>
    <cellStyle name="Comma 22 3" xfId="1504"/>
    <cellStyle name="Comma 22 4" xfId="1506"/>
    <cellStyle name="Comma 22 5" xfId="1522"/>
    <cellStyle name="Comma 22 6" xfId="1513"/>
    <cellStyle name="Comma 22 7" xfId="1509"/>
    <cellStyle name="Comma 22 8" xfId="1510"/>
    <cellStyle name="Comma 22 9" xfId="1511"/>
    <cellStyle name="Comma 23" xfId="830"/>
    <cellStyle name="Comma 23 10" xfId="1512"/>
    <cellStyle name="Comma 23 11" xfId="1516"/>
    <cellStyle name="Comma 23 12" xfId="1519"/>
    <cellStyle name="Comma 23 13" xfId="1515"/>
    <cellStyle name="Comma 23 14" xfId="1502"/>
    <cellStyle name="Comma 23 15" xfId="1521"/>
    <cellStyle name="Comma 23 16" xfId="1517"/>
    <cellStyle name="Comma 23 17" xfId="2935"/>
    <cellStyle name="Comma 23 18" xfId="2936"/>
    <cellStyle name="Comma 23 19" xfId="2937"/>
    <cellStyle name="Comma 23 2" xfId="2938"/>
    <cellStyle name="Comma 23 20" xfId="2939"/>
    <cellStyle name="Comma 23 3" xfId="2940"/>
    <cellStyle name="Comma 23 4" xfId="2941"/>
    <cellStyle name="Comma 23 5" xfId="2942"/>
    <cellStyle name="Comma 23 6" xfId="2943"/>
    <cellStyle name="Comma 23 7" xfId="2944"/>
    <cellStyle name="Comma 23 8" xfId="2945"/>
    <cellStyle name="Comma 23 9" xfId="2946"/>
    <cellStyle name="Comma 24" xfId="831"/>
    <cellStyle name="Comma 25" xfId="832"/>
    <cellStyle name="Comma 26" xfId="833"/>
    <cellStyle name="Comma 27" xfId="834"/>
    <cellStyle name="Comma 28" xfId="835"/>
    <cellStyle name="Comma 29" xfId="836"/>
    <cellStyle name="Comma 3" xfId="837"/>
    <cellStyle name="Comma 30" xfId="838"/>
    <cellStyle name="Comma 31" xfId="839"/>
    <cellStyle name="Comma 32" xfId="840"/>
    <cellStyle name="Comma 33" xfId="841"/>
    <cellStyle name="Comma 34" xfId="842"/>
    <cellStyle name="Comma 35" xfId="843"/>
    <cellStyle name="Comma 36" xfId="844"/>
    <cellStyle name="Comma 37" xfId="845"/>
    <cellStyle name="Comma 38" xfId="846"/>
    <cellStyle name="Comma 38 10" xfId="2947"/>
    <cellStyle name="Comma 38 11" xfId="2948"/>
    <cellStyle name="Comma 38 12" xfId="2949"/>
    <cellStyle name="Comma 38 13" xfId="2950"/>
    <cellStyle name="Comma 38 14" xfId="2951"/>
    <cellStyle name="Comma 38 2" xfId="2952"/>
    <cellStyle name="Comma 38 3" xfId="2953"/>
    <cellStyle name="Comma 38 4" xfId="2954"/>
    <cellStyle name="Comma 38 5" xfId="2955"/>
    <cellStyle name="Comma 38 6" xfId="2956"/>
    <cellStyle name="Comma 38 7" xfId="2957"/>
    <cellStyle name="Comma 38 8" xfId="2958"/>
    <cellStyle name="Comma 38 9" xfId="2959"/>
    <cellStyle name="Comma 39" xfId="847"/>
    <cellStyle name="Comma 39 10" xfId="2960"/>
    <cellStyle name="Comma 39 11" xfId="2961"/>
    <cellStyle name="Comma 39 12" xfId="2962"/>
    <cellStyle name="Comma 39 13" xfId="2963"/>
    <cellStyle name="Comma 39 14" xfId="2964"/>
    <cellStyle name="Comma 39 2" xfId="2965"/>
    <cellStyle name="Comma 39 3" xfId="2966"/>
    <cellStyle name="Comma 39 4" xfId="2967"/>
    <cellStyle name="Comma 39 5" xfId="2968"/>
    <cellStyle name="Comma 39 6" xfId="2969"/>
    <cellStyle name="Comma 39 7" xfId="2970"/>
    <cellStyle name="Comma 39 8" xfId="2971"/>
    <cellStyle name="Comma 39 9" xfId="2972"/>
    <cellStyle name="Comma 4" xfId="848"/>
    <cellStyle name="Comma 40" xfId="849"/>
    <cellStyle name="Comma 41" xfId="850"/>
    <cellStyle name="Comma 42" xfId="851"/>
    <cellStyle name="Comma 43" xfId="852"/>
    <cellStyle name="Comma 44" xfId="853"/>
    <cellStyle name="Comma 45" xfId="854"/>
    <cellStyle name="Comma 46" xfId="855"/>
    <cellStyle name="Comma 47" xfId="856"/>
    <cellStyle name="Comma 48" xfId="857"/>
    <cellStyle name="Comma 49" xfId="858"/>
    <cellStyle name="Comma 5" xfId="859"/>
    <cellStyle name="Comma 50" xfId="860"/>
    <cellStyle name="Comma 51" xfId="861"/>
    <cellStyle name="Comma 52" xfId="862"/>
    <cellStyle name="Comma 53" xfId="863"/>
    <cellStyle name="Comma 54" xfId="864"/>
    <cellStyle name="Comma 55" xfId="865"/>
    <cellStyle name="Comma 56" xfId="866"/>
    <cellStyle name="Comma 57" xfId="867"/>
    <cellStyle name="Comma 57 2" xfId="2923"/>
    <cellStyle name="Comma 58" xfId="868"/>
    <cellStyle name="Comma 59" xfId="869"/>
    <cellStyle name="Comma 6" xfId="870"/>
    <cellStyle name="Comma 60" xfId="871"/>
    <cellStyle name="Comma 61" xfId="872"/>
    <cellStyle name="Comma 62" xfId="873"/>
    <cellStyle name="Comma 63" xfId="874"/>
    <cellStyle name="Comma 64" xfId="875"/>
    <cellStyle name="Comma 65" xfId="876"/>
    <cellStyle name="Comma 66" xfId="877"/>
    <cellStyle name="Comma 67" xfId="878"/>
    <cellStyle name="Comma 68" xfId="879"/>
    <cellStyle name="Comma 69" xfId="880"/>
    <cellStyle name="Comma 7" xfId="881"/>
    <cellStyle name="Comma 7 10" xfId="2973"/>
    <cellStyle name="Comma 7 11" xfId="2974"/>
    <cellStyle name="Comma 7 12" xfId="2975"/>
    <cellStyle name="Comma 7 13" xfId="2976"/>
    <cellStyle name="Comma 7 14" xfId="2977"/>
    <cellStyle name="Comma 7 15" xfId="2978"/>
    <cellStyle name="Comma 7 16" xfId="2979"/>
    <cellStyle name="Comma 7 17" xfId="2980"/>
    <cellStyle name="Comma 7 18" xfId="2981"/>
    <cellStyle name="Comma 7 19" xfId="2982"/>
    <cellStyle name="Comma 7 2" xfId="2983"/>
    <cellStyle name="Comma 7 20" xfId="2984"/>
    <cellStyle name="Comma 7 3" xfId="2985"/>
    <cellStyle name="Comma 7 4" xfId="2986"/>
    <cellStyle name="Comma 7 5" xfId="2987"/>
    <cellStyle name="Comma 7 6" xfId="2988"/>
    <cellStyle name="Comma 7 7" xfId="2989"/>
    <cellStyle name="Comma 7 8" xfId="2990"/>
    <cellStyle name="Comma 7 9" xfId="2991"/>
    <cellStyle name="Comma 70" xfId="882"/>
    <cellStyle name="Comma 71" xfId="883"/>
    <cellStyle name="Comma 72" xfId="884"/>
    <cellStyle name="Comma 73" xfId="885"/>
    <cellStyle name="Comma 74" xfId="886"/>
    <cellStyle name="Comma 75" xfId="887"/>
    <cellStyle name="Comma 76" xfId="888"/>
    <cellStyle name="Comma 77" xfId="889"/>
    <cellStyle name="Comma 78" xfId="890"/>
    <cellStyle name="Comma 79" xfId="891"/>
    <cellStyle name="Comma 8" xfId="892"/>
    <cellStyle name="Comma 8 10" xfId="2992"/>
    <cellStyle name="Comma 8 11" xfId="2993"/>
    <cellStyle name="Comma 8 12" xfId="2994"/>
    <cellStyle name="Comma 8 13" xfId="2995"/>
    <cellStyle name="Comma 8 14" xfId="2996"/>
    <cellStyle name="Comma 8 15" xfId="2997"/>
    <cellStyle name="Comma 8 16" xfId="2998"/>
    <cellStyle name="Comma 8 17" xfId="2999"/>
    <cellStyle name="Comma 8 18" xfId="3000"/>
    <cellStyle name="Comma 8 19" xfId="3001"/>
    <cellStyle name="Comma 8 2" xfId="3002"/>
    <cellStyle name="Comma 8 20" xfId="3003"/>
    <cellStyle name="Comma 8 3" xfId="3004"/>
    <cellStyle name="Comma 8 4" xfId="3005"/>
    <cellStyle name="Comma 8 5" xfId="3006"/>
    <cellStyle name="Comma 8 6" xfId="3007"/>
    <cellStyle name="Comma 8 7" xfId="3008"/>
    <cellStyle name="Comma 8 8" xfId="3009"/>
    <cellStyle name="Comma 8 9" xfId="3010"/>
    <cellStyle name="Comma 80" xfId="893"/>
    <cellStyle name="Comma 81" xfId="894"/>
    <cellStyle name="Comma 82" xfId="895"/>
    <cellStyle name="Comma 83" xfId="896"/>
    <cellStyle name="Comma 84" xfId="897"/>
    <cellStyle name="Comma 85" xfId="898"/>
    <cellStyle name="Comma 86" xfId="899"/>
    <cellStyle name="Comma 87" xfId="900"/>
    <cellStyle name="Comma 88" xfId="901"/>
    <cellStyle name="Comma 89" xfId="902"/>
    <cellStyle name="Comma 9" xfId="903"/>
    <cellStyle name="Comma 9 10" xfId="3011"/>
    <cellStyle name="Comma 9 11" xfId="3012"/>
    <cellStyle name="Comma 9 12" xfId="3013"/>
    <cellStyle name="Comma 9 13" xfId="3014"/>
    <cellStyle name="Comma 9 14" xfId="3015"/>
    <cellStyle name="Comma 9 15" xfId="3016"/>
    <cellStyle name="Comma 9 16" xfId="3017"/>
    <cellStyle name="Comma 9 17" xfId="3018"/>
    <cellStyle name="Comma 9 18" xfId="3019"/>
    <cellStyle name="Comma 9 19" xfId="3020"/>
    <cellStyle name="Comma 9 2" xfId="3021"/>
    <cellStyle name="Comma 9 20" xfId="3022"/>
    <cellStyle name="Comma 9 3" xfId="3023"/>
    <cellStyle name="Comma 9 4" xfId="3024"/>
    <cellStyle name="Comma 9 5" xfId="3025"/>
    <cellStyle name="Comma 9 6" xfId="3026"/>
    <cellStyle name="Comma 9 7" xfId="3027"/>
    <cellStyle name="Comma 9 8" xfId="3028"/>
    <cellStyle name="Comma 9 9" xfId="3029"/>
    <cellStyle name="Comma 90" xfId="904"/>
    <cellStyle name="Comma 91" xfId="905"/>
    <cellStyle name="Comma 92" xfId="906"/>
    <cellStyle name="Comma 93" xfId="907"/>
    <cellStyle name="Comma 94" xfId="908"/>
    <cellStyle name="Comma 95" xfId="909"/>
    <cellStyle name="Comma 96" xfId="910"/>
    <cellStyle name="Comma 97" xfId="911"/>
    <cellStyle name="Comma 98" xfId="912"/>
    <cellStyle name="Comma 99" xfId="913"/>
    <cellStyle name="Currency" xfId="1501"/>
    <cellStyle name="Currency [0] 10" xfId="914"/>
    <cellStyle name="Currency [0] 10 10" xfId="3030"/>
    <cellStyle name="Currency [0] 10 11" xfId="3031"/>
    <cellStyle name="Currency [0] 10 12" xfId="3032"/>
    <cellStyle name="Currency [0] 10 13" xfId="3033"/>
    <cellStyle name="Currency [0] 10 14" xfId="3034"/>
    <cellStyle name="Currency [0] 10 15" xfId="3035"/>
    <cellStyle name="Currency [0] 10 16" xfId="3036"/>
    <cellStyle name="Currency [0] 10 17" xfId="3037"/>
    <cellStyle name="Currency [0] 10 18" xfId="3038"/>
    <cellStyle name="Currency [0] 10 19" xfId="3039"/>
    <cellStyle name="Currency [0] 10 2" xfId="3040"/>
    <cellStyle name="Currency [0] 10 20" xfId="3041"/>
    <cellStyle name="Currency [0] 10 3" xfId="3042"/>
    <cellStyle name="Currency [0] 10 4" xfId="3043"/>
    <cellStyle name="Currency [0] 10 5" xfId="3044"/>
    <cellStyle name="Currency [0] 10 6" xfId="3045"/>
    <cellStyle name="Currency [0] 10 7" xfId="3046"/>
    <cellStyle name="Currency [0] 10 8" xfId="3047"/>
    <cellStyle name="Currency [0] 10 9" xfId="3048"/>
    <cellStyle name="Currency [0] 11" xfId="915"/>
    <cellStyle name="Currency [0] 11 10" xfId="3049"/>
    <cellStyle name="Currency [0] 11 11" xfId="3050"/>
    <cellStyle name="Currency [0] 11 12" xfId="3051"/>
    <cellStyle name="Currency [0] 11 13" xfId="3052"/>
    <cellStyle name="Currency [0] 11 14" xfId="3053"/>
    <cellStyle name="Currency [0] 11 15" xfId="3054"/>
    <cellStyle name="Currency [0] 11 16" xfId="3055"/>
    <cellStyle name="Currency [0] 11 17" xfId="3056"/>
    <cellStyle name="Currency [0] 11 18" xfId="3057"/>
    <cellStyle name="Currency [0] 11 19" xfId="3058"/>
    <cellStyle name="Currency [0] 11 2" xfId="3059"/>
    <cellStyle name="Currency [0] 11 20" xfId="3060"/>
    <cellStyle name="Currency [0] 11 3" xfId="3061"/>
    <cellStyle name="Currency [0] 11 4" xfId="3062"/>
    <cellStyle name="Currency [0] 11 5" xfId="3063"/>
    <cellStyle name="Currency [0] 11 6" xfId="3064"/>
    <cellStyle name="Currency [0] 11 7" xfId="3065"/>
    <cellStyle name="Currency [0] 11 8" xfId="3066"/>
    <cellStyle name="Currency [0] 11 9" xfId="3067"/>
    <cellStyle name="Currency [0] 12" xfId="916"/>
    <cellStyle name="Currency [0] 12 10" xfId="3068"/>
    <cellStyle name="Currency [0] 12 11" xfId="3069"/>
    <cellStyle name="Currency [0] 12 12" xfId="3070"/>
    <cellStyle name="Currency [0] 12 13" xfId="3071"/>
    <cellStyle name="Currency [0] 12 14" xfId="3072"/>
    <cellStyle name="Currency [0] 12 15" xfId="3073"/>
    <cellStyle name="Currency [0] 12 16" xfId="3074"/>
    <cellStyle name="Currency [0] 12 17" xfId="3075"/>
    <cellStyle name="Currency [0] 12 18" xfId="3076"/>
    <cellStyle name="Currency [0] 12 19" xfId="3077"/>
    <cellStyle name="Currency [0] 12 2" xfId="3078"/>
    <cellStyle name="Currency [0] 12 20" xfId="3079"/>
    <cellStyle name="Currency [0] 12 3" xfId="3080"/>
    <cellStyle name="Currency [0] 12 4" xfId="3081"/>
    <cellStyle name="Currency [0] 12 5" xfId="3082"/>
    <cellStyle name="Currency [0] 12 6" xfId="3083"/>
    <cellStyle name="Currency [0] 12 7" xfId="3084"/>
    <cellStyle name="Currency [0] 12 8" xfId="3085"/>
    <cellStyle name="Currency [0] 12 9" xfId="3086"/>
    <cellStyle name="Currency [0] 13" xfId="917"/>
    <cellStyle name="Currency [0] 13 10" xfId="3087"/>
    <cellStyle name="Currency [0] 13 11" xfId="3088"/>
    <cellStyle name="Currency [0] 13 12" xfId="3089"/>
    <cellStyle name="Currency [0] 13 13" xfId="3090"/>
    <cellStyle name="Currency [0] 13 14" xfId="3091"/>
    <cellStyle name="Currency [0] 13 15" xfId="3092"/>
    <cellStyle name="Currency [0] 13 16" xfId="3093"/>
    <cellStyle name="Currency [0] 13 17" xfId="3094"/>
    <cellStyle name="Currency [0] 13 18" xfId="3095"/>
    <cellStyle name="Currency [0] 13 19" xfId="3096"/>
    <cellStyle name="Currency [0] 13 2" xfId="3097"/>
    <cellStyle name="Currency [0] 13 20" xfId="3098"/>
    <cellStyle name="Currency [0] 13 3" xfId="3099"/>
    <cellStyle name="Currency [0] 13 4" xfId="3100"/>
    <cellStyle name="Currency [0] 13 5" xfId="3101"/>
    <cellStyle name="Currency [0] 13 6" xfId="3102"/>
    <cellStyle name="Currency [0] 13 7" xfId="3103"/>
    <cellStyle name="Currency [0] 13 8" xfId="3104"/>
    <cellStyle name="Currency [0] 13 9" xfId="3105"/>
    <cellStyle name="Currency [0] 14" xfId="918"/>
    <cellStyle name="Currency [0] 14 10" xfId="3106"/>
    <cellStyle name="Currency [0] 14 11" xfId="3107"/>
    <cellStyle name="Currency [0] 14 12" xfId="3108"/>
    <cellStyle name="Currency [0] 14 13" xfId="3109"/>
    <cellStyle name="Currency [0] 14 14" xfId="3110"/>
    <cellStyle name="Currency [0] 14 15" xfId="3111"/>
    <cellStyle name="Currency [0] 14 16" xfId="3112"/>
    <cellStyle name="Currency [0] 14 17" xfId="3113"/>
    <cellStyle name="Currency [0] 14 18" xfId="3114"/>
    <cellStyle name="Currency [0] 14 19" xfId="3115"/>
    <cellStyle name="Currency [0] 14 2" xfId="3116"/>
    <cellStyle name="Currency [0] 14 20" xfId="3117"/>
    <cellStyle name="Currency [0] 14 3" xfId="3118"/>
    <cellStyle name="Currency [0] 14 4" xfId="3119"/>
    <cellStyle name="Currency [0] 14 5" xfId="3120"/>
    <cellStyle name="Currency [0] 14 6" xfId="3121"/>
    <cellStyle name="Currency [0] 14 7" xfId="3122"/>
    <cellStyle name="Currency [0] 14 8" xfId="3123"/>
    <cellStyle name="Currency [0] 14 9" xfId="3124"/>
    <cellStyle name="Currency [0] 15" xfId="919"/>
    <cellStyle name="Currency [0] 15 10" xfId="3125"/>
    <cellStyle name="Currency [0] 15 11" xfId="3126"/>
    <cellStyle name="Currency [0] 15 12" xfId="3127"/>
    <cellStyle name="Currency [0] 15 13" xfId="3128"/>
    <cellStyle name="Currency [0] 15 14" xfId="3129"/>
    <cellStyle name="Currency [0] 15 15" xfId="3130"/>
    <cellStyle name="Currency [0] 15 16" xfId="3131"/>
    <cellStyle name="Currency [0] 15 17" xfId="3132"/>
    <cellStyle name="Currency [0] 15 18" xfId="3133"/>
    <cellStyle name="Currency [0] 15 19" xfId="3134"/>
    <cellStyle name="Currency [0] 15 2" xfId="3135"/>
    <cellStyle name="Currency [0] 15 20" xfId="3136"/>
    <cellStyle name="Currency [0] 15 3" xfId="3137"/>
    <cellStyle name="Currency [0] 15 4" xfId="3138"/>
    <cellStyle name="Currency [0] 15 5" xfId="3139"/>
    <cellStyle name="Currency [0] 15 6" xfId="3140"/>
    <cellStyle name="Currency [0] 15 7" xfId="3141"/>
    <cellStyle name="Currency [0] 15 8" xfId="3142"/>
    <cellStyle name="Currency [0] 15 9" xfId="3143"/>
    <cellStyle name="Currency [0] 16" xfId="920"/>
    <cellStyle name="Currency [0] 16 10" xfId="3144"/>
    <cellStyle name="Currency [0] 16 11" xfId="3145"/>
    <cellStyle name="Currency [0] 16 12" xfId="3146"/>
    <cellStyle name="Currency [0] 16 13" xfId="3147"/>
    <cellStyle name="Currency [0] 16 14" xfId="3148"/>
    <cellStyle name="Currency [0] 16 15" xfId="3149"/>
    <cellStyle name="Currency [0] 16 16" xfId="3150"/>
    <cellStyle name="Currency [0] 16 17" xfId="3151"/>
    <cellStyle name="Currency [0] 16 18" xfId="3152"/>
    <cellStyle name="Currency [0] 16 19" xfId="3153"/>
    <cellStyle name="Currency [0] 16 2" xfId="3154"/>
    <cellStyle name="Currency [0] 16 20" xfId="3155"/>
    <cellStyle name="Currency [0] 16 3" xfId="3156"/>
    <cellStyle name="Currency [0] 16 4" xfId="3157"/>
    <cellStyle name="Currency [0] 16 5" xfId="3158"/>
    <cellStyle name="Currency [0] 16 6" xfId="3159"/>
    <cellStyle name="Currency [0] 16 7" xfId="3160"/>
    <cellStyle name="Currency [0] 16 8" xfId="3161"/>
    <cellStyle name="Currency [0] 16 9" xfId="3162"/>
    <cellStyle name="Currency [0] 17" xfId="921"/>
    <cellStyle name="Currency [0] 17 10" xfId="3163"/>
    <cellStyle name="Currency [0] 17 11" xfId="3164"/>
    <cellStyle name="Currency [0] 17 12" xfId="3165"/>
    <cellStyle name="Currency [0] 17 13" xfId="3166"/>
    <cellStyle name="Currency [0] 17 14" xfId="3167"/>
    <cellStyle name="Currency [0] 17 15" xfId="3168"/>
    <cellStyle name="Currency [0] 17 16" xfId="3169"/>
    <cellStyle name="Currency [0] 17 17" xfId="3170"/>
    <cellStyle name="Currency [0] 17 18" xfId="3171"/>
    <cellStyle name="Currency [0] 17 19" xfId="3172"/>
    <cellStyle name="Currency [0] 17 2" xfId="3173"/>
    <cellStyle name="Currency [0] 17 20" xfId="3174"/>
    <cellStyle name="Currency [0] 17 3" xfId="3175"/>
    <cellStyle name="Currency [0] 17 4" xfId="3176"/>
    <cellStyle name="Currency [0] 17 5" xfId="3177"/>
    <cellStyle name="Currency [0] 17 6" xfId="3178"/>
    <cellStyle name="Currency [0] 17 7" xfId="3179"/>
    <cellStyle name="Currency [0] 17 8" xfId="3180"/>
    <cellStyle name="Currency [0] 17 9" xfId="3181"/>
    <cellStyle name="Currency [0] 18" xfId="922"/>
    <cellStyle name="Currency [0] 18 10" xfId="3182"/>
    <cellStyle name="Currency [0] 18 11" xfId="3183"/>
    <cellStyle name="Currency [0] 18 12" xfId="3184"/>
    <cellStyle name="Currency [0] 18 13" xfId="3185"/>
    <cellStyle name="Currency [0] 18 14" xfId="3186"/>
    <cellStyle name="Currency [0] 18 15" xfId="3187"/>
    <cellStyle name="Currency [0] 18 16" xfId="3188"/>
    <cellStyle name="Currency [0] 18 17" xfId="3189"/>
    <cellStyle name="Currency [0] 18 18" xfId="3190"/>
    <cellStyle name="Currency [0] 18 19" xfId="3191"/>
    <cellStyle name="Currency [0] 18 2" xfId="3192"/>
    <cellStyle name="Currency [0] 18 20" xfId="3193"/>
    <cellStyle name="Currency [0] 18 3" xfId="3194"/>
    <cellStyle name="Currency [0] 18 4" xfId="3195"/>
    <cellStyle name="Currency [0] 18 5" xfId="3196"/>
    <cellStyle name="Currency [0] 18 6" xfId="3197"/>
    <cellStyle name="Currency [0] 18 7" xfId="3198"/>
    <cellStyle name="Currency [0] 18 8" xfId="3199"/>
    <cellStyle name="Currency [0] 18 9" xfId="3200"/>
    <cellStyle name="Currency [0] 19" xfId="923"/>
    <cellStyle name="Currency [0] 19 10" xfId="3201"/>
    <cellStyle name="Currency [0] 19 11" xfId="3202"/>
    <cellStyle name="Currency [0] 19 12" xfId="3203"/>
    <cellStyle name="Currency [0] 19 13" xfId="3204"/>
    <cellStyle name="Currency [0] 19 14" xfId="3205"/>
    <cellStyle name="Currency [0] 19 15" xfId="3206"/>
    <cellStyle name="Currency [0] 19 16" xfId="3207"/>
    <cellStyle name="Currency [0] 19 17" xfId="3208"/>
    <cellStyle name="Currency [0] 19 18" xfId="3209"/>
    <cellStyle name="Currency [0] 19 19" xfId="3210"/>
    <cellStyle name="Currency [0] 19 2" xfId="3211"/>
    <cellStyle name="Currency [0] 19 20" xfId="3212"/>
    <cellStyle name="Currency [0] 19 3" xfId="3213"/>
    <cellStyle name="Currency [0] 19 4" xfId="3214"/>
    <cellStyle name="Currency [0] 19 5" xfId="3215"/>
    <cellStyle name="Currency [0] 19 6" xfId="3216"/>
    <cellStyle name="Currency [0] 19 7" xfId="3217"/>
    <cellStyle name="Currency [0] 19 8" xfId="3218"/>
    <cellStyle name="Currency [0] 19 9" xfId="3219"/>
    <cellStyle name="Currency [0] 2" xfId="924"/>
    <cellStyle name="Currency [0] 2 2" xfId="3220"/>
    <cellStyle name="Currency [0] 2 3" xfId="3221"/>
    <cellStyle name="Currency [0] 2 4" xfId="3222"/>
    <cellStyle name="Currency [0] 20" xfId="925"/>
    <cellStyle name="Currency [0] 20 10" xfId="3223"/>
    <cellStyle name="Currency [0] 20 11" xfId="3224"/>
    <cellStyle name="Currency [0] 20 12" xfId="3225"/>
    <cellStyle name="Currency [0] 20 13" xfId="3226"/>
    <cellStyle name="Currency [0] 20 14" xfId="3227"/>
    <cellStyle name="Currency [0] 20 15" xfId="3228"/>
    <cellStyle name="Currency [0] 20 16" xfId="3229"/>
    <cellStyle name="Currency [0] 20 17" xfId="3230"/>
    <cellStyle name="Currency [0] 20 18" xfId="3231"/>
    <cellStyle name="Currency [0] 20 19" xfId="3232"/>
    <cellStyle name="Currency [0] 20 2" xfId="3233"/>
    <cellStyle name="Currency [0] 20 20" xfId="3234"/>
    <cellStyle name="Currency [0] 20 3" xfId="3235"/>
    <cellStyle name="Currency [0] 20 4" xfId="3236"/>
    <cellStyle name="Currency [0] 20 5" xfId="3237"/>
    <cellStyle name="Currency [0] 20 6" xfId="3238"/>
    <cellStyle name="Currency [0] 20 7" xfId="3239"/>
    <cellStyle name="Currency [0] 20 8" xfId="3240"/>
    <cellStyle name="Currency [0] 20 9" xfId="3241"/>
    <cellStyle name="Currency [0] 21" xfId="926"/>
    <cellStyle name="Currency [0] 21 10" xfId="3242"/>
    <cellStyle name="Currency [0] 21 11" xfId="3243"/>
    <cellStyle name="Currency [0] 21 12" xfId="3244"/>
    <cellStyle name="Currency [0] 21 13" xfId="3245"/>
    <cellStyle name="Currency [0] 21 14" xfId="3246"/>
    <cellStyle name="Currency [0] 21 15" xfId="3247"/>
    <cellStyle name="Currency [0] 21 16" xfId="3248"/>
    <cellStyle name="Currency [0] 21 17" xfId="3249"/>
    <cellStyle name="Currency [0] 21 18" xfId="3250"/>
    <cellStyle name="Currency [0] 21 19" xfId="3251"/>
    <cellStyle name="Currency [0] 21 2" xfId="3252"/>
    <cellStyle name="Currency [0] 21 20" xfId="3253"/>
    <cellStyle name="Currency [0] 21 3" xfId="3254"/>
    <cellStyle name="Currency [0] 21 4" xfId="3255"/>
    <cellStyle name="Currency [0] 21 5" xfId="3256"/>
    <cellStyle name="Currency [0] 21 6" xfId="3257"/>
    <cellStyle name="Currency [0] 21 7" xfId="3258"/>
    <cellStyle name="Currency [0] 21 8" xfId="3259"/>
    <cellStyle name="Currency [0] 21 9" xfId="3260"/>
    <cellStyle name="Currency [0] 22" xfId="927"/>
    <cellStyle name="Currency [0] 22 10" xfId="3261"/>
    <cellStyle name="Currency [0] 22 11" xfId="3262"/>
    <cellStyle name="Currency [0] 22 12" xfId="3263"/>
    <cellStyle name="Currency [0] 22 13" xfId="3264"/>
    <cellStyle name="Currency [0] 22 14" xfId="3265"/>
    <cellStyle name="Currency [0] 22 15" xfId="3266"/>
    <cellStyle name="Currency [0] 22 16" xfId="3267"/>
    <cellStyle name="Currency [0] 22 17" xfId="3268"/>
    <cellStyle name="Currency [0] 22 18" xfId="3269"/>
    <cellStyle name="Currency [0] 22 19" xfId="3270"/>
    <cellStyle name="Currency [0] 22 2" xfId="3271"/>
    <cellStyle name="Currency [0] 22 20" xfId="3272"/>
    <cellStyle name="Currency [0] 22 3" xfId="3273"/>
    <cellStyle name="Currency [0] 22 4" xfId="3274"/>
    <cellStyle name="Currency [0] 22 5" xfId="3275"/>
    <cellStyle name="Currency [0] 22 6" xfId="3276"/>
    <cellStyle name="Currency [0] 22 7" xfId="3277"/>
    <cellStyle name="Currency [0] 22 8" xfId="3278"/>
    <cellStyle name="Currency [0] 22 9" xfId="3279"/>
    <cellStyle name="Currency [0] 23" xfId="928"/>
    <cellStyle name="Currency [0] 24" xfId="929"/>
    <cellStyle name="Currency [0] 24 10" xfId="3280"/>
    <cellStyle name="Currency [0] 24 11" xfId="3281"/>
    <cellStyle name="Currency [0] 24 12" xfId="3282"/>
    <cellStyle name="Currency [0] 24 13" xfId="3283"/>
    <cellStyle name="Currency [0] 24 14" xfId="3284"/>
    <cellStyle name="Currency [0] 24 2" xfId="3285"/>
    <cellStyle name="Currency [0] 24 3" xfId="3286"/>
    <cellStyle name="Currency [0] 24 4" xfId="3287"/>
    <cellStyle name="Currency [0] 24 5" xfId="3288"/>
    <cellStyle name="Currency [0] 24 6" xfId="3289"/>
    <cellStyle name="Currency [0] 24 7" xfId="3290"/>
    <cellStyle name="Currency [0] 24 8" xfId="3291"/>
    <cellStyle name="Currency [0] 24 9" xfId="3292"/>
    <cellStyle name="Currency [0] 25" xfId="930"/>
    <cellStyle name="Currency [0] 25 10" xfId="3293"/>
    <cellStyle name="Currency [0] 25 11" xfId="3294"/>
    <cellStyle name="Currency [0] 25 12" xfId="3295"/>
    <cellStyle name="Currency [0] 25 13" xfId="3296"/>
    <cellStyle name="Currency [0] 25 14" xfId="3297"/>
    <cellStyle name="Currency [0] 25 2" xfId="3298"/>
    <cellStyle name="Currency [0] 25 3" xfId="3299"/>
    <cellStyle name="Currency [0] 25 4" xfId="3300"/>
    <cellStyle name="Currency [0] 25 5" xfId="3301"/>
    <cellStyle name="Currency [0] 25 6" xfId="3302"/>
    <cellStyle name="Currency [0] 25 7" xfId="3303"/>
    <cellStyle name="Currency [0] 25 8" xfId="3304"/>
    <cellStyle name="Currency [0] 25 9" xfId="3305"/>
    <cellStyle name="Currency [0] 26" xfId="931"/>
    <cellStyle name="Currency [0] 27" xfId="932"/>
    <cellStyle name="Currency [0] 28" xfId="933"/>
    <cellStyle name="Currency [0] 29" xfId="934"/>
    <cellStyle name="Currency [0] 3" xfId="935"/>
    <cellStyle name="Currency [0] 30" xfId="3306"/>
    <cellStyle name="Currency [0] 31" xfId="3307"/>
    <cellStyle name="Currency [0] 32" xfId="3308"/>
    <cellStyle name="Currency [0] 33" xfId="3309"/>
    <cellStyle name="Currency [0] 34" xfId="3310"/>
    <cellStyle name="Currency [0] 4" xfId="936"/>
    <cellStyle name="Currency [0] 5" xfId="937"/>
    <cellStyle name="Currency [0] 6" xfId="938"/>
    <cellStyle name="Currency [0] 7" xfId="939"/>
    <cellStyle name="Currency [0] 7 10" xfId="3311"/>
    <cellStyle name="Currency [0] 7 11" xfId="3312"/>
    <cellStyle name="Currency [0] 7 12" xfId="3313"/>
    <cellStyle name="Currency [0] 7 13" xfId="3314"/>
    <cellStyle name="Currency [0] 7 14" xfId="3315"/>
    <cellStyle name="Currency [0] 7 15" xfId="3316"/>
    <cellStyle name="Currency [0] 7 16" xfId="3317"/>
    <cellStyle name="Currency [0] 7 17" xfId="3318"/>
    <cellStyle name="Currency [0] 7 18" xfId="3319"/>
    <cellStyle name="Currency [0] 7 19" xfId="3320"/>
    <cellStyle name="Currency [0] 7 2" xfId="3321"/>
    <cellStyle name="Currency [0] 7 20" xfId="3322"/>
    <cellStyle name="Currency [0] 7 3" xfId="3323"/>
    <cellStyle name="Currency [0] 7 4" xfId="3324"/>
    <cellStyle name="Currency [0] 7 5" xfId="3325"/>
    <cellStyle name="Currency [0] 7 6" xfId="3326"/>
    <cellStyle name="Currency [0] 7 7" xfId="3327"/>
    <cellStyle name="Currency [0] 7 8" xfId="3328"/>
    <cellStyle name="Currency [0] 7 9" xfId="3329"/>
    <cellStyle name="Currency [0] 8" xfId="940"/>
    <cellStyle name="Currency [0] 8 10" xfId="3330"/>
    <cellStyle name="Currency [0] 8 11" xfId="3331"/>
    <cellStyle name="Currency [0] 8 12" xfId="3332"/>
    <cellStyle name="Currency [0] 8 13" xfId="3333"/>
    <cellStyle name="Currency [0] 8 14" xfId="3334"/>
    <cellStyle name="Currency [0] 8 15" xfId="3335"/>
    <cellStyle name="Currency [0] 8 16" xfId="3336"/>
    <cellStyle name="Currency [0] 8 17" xfId="3337"/>
    <cellStyle name="Currency [0] 8 18" xfId="3338"/>
    <cellStyle name="Currency [0] 8 19" xfId="3339"/>
    <cellStyle name="Currency [0] 8 2" xfId="3340"/>
    <cellStyle name="Currency [0] 8 20" xfId="3341"/>
    <cellStyle name="Currency [0] 8 3" xfId="3342"/>
    <cellStyle name="Currency [0] 8 4" xfId="3343"/>
    <cellStyle name="Currency [0] 8 5" xfId="3344"/>
    <cellStyle name="Currency [0] 8 6" xfId="3345"/>
    <cellStyle name="Currency [0] 8 7" xfId="3346"/>
    <cellStyle name="Currency [0] 8 8" xfId="3347"/>
    <cellStyle name="Currency [0] 8 9" xfId="3348"/>
    <cellStyle name="Currency [0] 9" xfId="941"/>
    <cellStyle name="Currency [0] 9 10" xfId="3349"/>
    <cellStyle name="Currency [0] 9 11" xfId="3350"/>
    <cellStyle name="Currency [0] 9 12" xfId="3351"/>
    <cellStyle name="Currency [0] 9 13" xfId="3352"/>
    <cellStyle name="Currency [0] 9 14" xfId="3353"/>
    <cellStyle name="Currency [0] 9 15" xfId="3354"/>
    <cellStyle name="Currency [0] 9 16" xfId="3355"/>
    <cellStyle name="Currency [0] 9 17" xfId="3356"/>
    <cellStyle name="Currency [0] 9 18" xfId="3357"/>
    <cellStyle name="Currency [0] 9 19" xfId="3358"/>
    <cellStyle name="Currency [0] 9 2" xfId="3359"/>
    <cellStyle name="Currency [0] 9 20" xfId="3360"/>
    <cellStyle name="Currency [0] 9 3" xfId="3361"/>
    <cellStyle name="Currency [0] 9 4" xfId="3362"/>
    <cellStyle name="Currency [0] 9 5" xfId="3363"/>
    <cellStyle name="Currency [0] 9 6" xfId="3364"/>
    <cellStyle name="Currency [0] 9 7" xfId="3365"/>
    <cellStyle name="Currency [0] 9 8" xfId="3366"/>
    <cellStyle name="Currency [0] 9 9" xfId="3367"/>
    <cellStyle name="Currency 10" xfId="942"/>
    <cellStyle name="Currency 10 10" xfId="3368"/>
    <cellStyle name="Currency 10 11" xfId="3369"/>
    <cellStyle name="Currency 10 12" xfId="3370"/>
    <cellStyle name="Currency 10 13" xfId="3371"/>
    <cellStyle name="Currency 10 14" xfId="3372"/>
    <cellStyle name="Currency 10 15" xfId="3373"/>
    <cellStyle name="Currency 10 16" xfId="3374"/>
    <cellStyle name="Currency 10 17" xfId="3375"/>
    <cellStyle name="Currency 10 18" xfId="3376"/>
    <cellStyle name="Currency 10 19" xfId="3377"/>
    <cellStyle name="Currency 10 2" xfId="3378"/>
    <cellStyle name="Currency 10 20" xfId="3379"/>
    <cellStyle name="Currency 10 3" xfId="3380"/>
    <cellStyle name="Currency 10 4" xfId="3381"/>
    <cellStyle name="Currency 10 5" xfId="3382"/>
    <cellStyle name="Currency 10 6" xfId="3383"/>
    <cellStyle name="Currency 10 7" xfId="3384"/>
    <cellStyle name="Currency 10 8" xfId="3385"/>
    <cellStyle name="Currency 10 9" xfId="3386"/>
    <cellStyle name="Currency 11" xfId="943"/>
    <cellStyle name="Currency 11 10" xfId="3387"/>
    <cellStyle name="Currency 11 11" xfId="3388"/>
    <cellStyle name="Currency 11 12" xfId="3389"/>
    <cellStyle name="Currency 11 13" xfId="3390"/>
    <cellStyle name="Currency 11 14" xfId="3391"/>
    <cellStyle name="Currency 11 15" xfId="3392"/>
    <cellStyle name="Currency 11 16" xfId="3393"/>
    <cellStyle name="Currency 11 17" xfId="3394"/>
    <cellStyle name="Currency 11 18" xfId="3395"/>
    <cellStyle name="Currency 11 19" xfId="3396"/>
    <cellStyle name="Currency 11 2" xfId="3397"/>
    <cellStyle name="Currency 11 20" xfId="3398"/>
    <cellStyle name="Currency 11 3" xfId="3399"/>
    <cellStyle name="Currency 11 4" xfId="3400"/>
    <cellStyle name="Currency 11 5" xfId="3401"/>
    <cellStyle name="Currency 11 6" xfId="3402"/>
    <cellStyle name="Currency 11 7" xfId="3403"/>
    <cellStyle name="Currency 11 8" xfId="3404"/>
    <cellStyle name="Currency 11 9" xfId="3405"/>
    <cellStyle name="Currency 12" xfId="944"/>
    <cellStyle name="Currency 12 10" xfId="3406"/>
    <cellStyle name="Currency 12 11" xfId="3407"/>
    <cellStyle name="Currency 12 12" xfId="3408"/>
    <cellStyle name="Currency 12 13" xfId="3409"/>
    <cellStyle name="Currency 12 14" xfId="3410"/>
    <cellStyle name="Currency 12 15" xfId="3411"/>
    <cellStyle name="Currency 12 16" xfId="3412"/>
    <cellStyle name="Currency 12 17" xfId="3413"/>
    <cellStyle name="Currency 12 18" xfId="3414"/>
    <cellStyle name="Currency 12 19" xfId="3415"/>
    <cellStyle name="Currency 12 2" xfId="3416"/>
    <cellStyle name="Currency 12 20" xfId="3417"/>
    <cellStyle name="Currency 12 3" xfId="3418"/>
    <cellStyle name="Currency 12 4" xfId="3419"/>
    <cellStyle name="Currency 12 5" xfId="3420"/>
    <cellStyle name="Currency 12 6" xfId="3421"/>
    <cellStyle name="Currency 12 7" xfId="3422"/>
    <cellStyle name="Currency 12 8" xfId="3423"/>
    <cellStyle name="Currency 12 9" xfId="3424"/>
    <cellStyle name="Currency 13" xfId="945"/>
    <cellStyle name="Currency 13 10" xfId="3425"/>
    <cellStyle name="Currency 13 11" xfId="3426"/>
    <cellStyle name="Currency 13 12" xfId="3427"/>
    <cellStyle name="Currency 13 13" xfId="3428"/>
    <cellStyle name="Currency 13 14" xfId="3429"/>
    <cellStyle name="Currency 13 15" xfId="3430"/>
    <cellStyle name="Currency 13 16" xfId="3431"/>
    <cellStyle name="Currency 13 17" xfId="3432"/>
    <cellStyle name="Currency 13 18" xfId="3433"/>
    <cellStyle name="Currency 13 19" xfId="3434"/>
    <cellStyle name="Currency 13 2" xfId="3435"/>
    <cellStyle name="Currency 13 20" xfId="3436"/>
    <cellStyle name="Currency 13 3" xfId="3437"/>
    <cellStyle name="Currency 13 4" xfId="3438"/>
    <cellStyle name="Currency 13 5" xfId="3439"/>
    <cellStyle name="Currency 13 6" xfId="3440"/>
    <cellStyle name="Currency 13 7" xfId="3441"/>
    <cellStyle name="Currency 13 8" xfId="3442"/>
    <cellStyle name="Currency 13 9" xfId="3443"/>
    <cellStyle name="Currency 14" xfId="946"/>
    <cellStyle name="Currency 14 10" xfId="3444"/>
    <cellStyle name="Currency 14 11" xfId="3445"/>
    <cellStyle name="Currency 14 12" xfId="3446"/>
    <cellStyle name="Currency 14 13" xfId="3447"/>
    <cellStyle name="Currency 14 14" xfId="3448"/>
    <cellStyle name="Currency 14 15" xfId="3449"/>
    <cellStyle name="Currency 14 16" xfId="3450"/>
    <cellStyle name="Currency 14 17" xfId="3451"/>
    <cellStyle name="Currency 14 18" xfId="3452"/>
    <cellStyle name="Currency 14 19" xfId="3453"/>
    <cellStyle name="Currency 14 2" xfId="3454"/>
    <cellStyle name="Currency 14 20" xfId="3455"/>
    <cellStyle name="Currency 14 3" xfId="3456"/>
    <cellStyle name="Currency 14 4" xfId="3457"/>
    <cellStyle name="Currency 14 5" xfId="3458"/>
    <cellStyle name="Currency 14 6" xfId="3459"/>
    <cellStyle name="Currency 14 7" xfId="3460"/>
    <cellStyle name="Currency 14 8" xfId="3461"/>
    <cellStyle name="Currency 14 9" xfId="3462"/>
    <cellStyle name="Currency 15" xfId="947"/>
    <cellStyle name="Currency 15 10" xfId="3463"/>
    <cellStyle name="Currency 15 11" xfId="3464"/>
    <cellStyle name="Currency 15 12" xfId="3465"/>
    <cellStyle name="Currency 15 13" xfId="3466"/>
    <cellStyle name="Currency 15 14" xfId="3467"/>
    <cellStyle name="Currency 15 15" xfId="3468"/>
    <cellStyle name="Currency 15 16" xfId="3469"/>
    <cellStyle name="Currency 15 17" xfId="3470"/>
    <cellStyle name="Currency 15 18" xfId="3471"/>
    <cellStyle name="Currency 15 19" xfId="3472"/>
    <cellStyle name="Currency 15 2" xfId="3473"/>
    <cellStyle name="Currency 15 20" xfId="3474"/>
    <cellStyle name="Currency 15 3" xfId="3475"/>
    <cellStyle name="Currency 15 4" xfId="3476"/>
    <cellStyle name="Currency 15 5" xfId="3477"/>
    <cellStyle name="Currency 15 6" xfId="3478"/>
    <cellStyle name="Currency 15 7" xfId="3479"/>
    <cellStyle name="Currency 15 8" xfId="3480"/>
    <cellStyle name="Currency 15 9" xfId="3481"/>
    <cellStyle name="Currency 16" xfId="948"/>
    <cellStyle name="Currency 16 10" xfId="3482"/>
    <cellStyle name="Currency 16 11" xfId="3483"/>
    <cellStyle name="Currency 16 12" xfId="3484"/>
    <cellStyle name="Currency 16 13" xfId="3485"/>
    <cellStyle name="Currency 16 14" xfId="3486"/>
    <cellStyle name="Currency 16 15" xfId="3487"/>
    <cellStyle name="Currency 16 16" xfId="3488"/>
    <cellStyle name="Currency 16 17" xfId="3489"/>
    <cellStyle name="Currency 16 18" xfId="3490"/>
    <cellStyle name="Currency 16 19" xfId="3491"/>
    <cellStyle name="Currency 16 2" xfId="3492"/>
    <cellStyle name="Currency 16 20" xfId="3493"/>
    <cellStyle name="Currency 16 3" xfId="3494"/>
    <cellStyle name="Currency 16 4" xfId="3495"/>
    <cellStyle name="Currency 16 5" xfId="3496"/>
    <cellStyle name="Currency 16 6" xfId="3497"/>
    <cellStyle name="Currency 16 7" xfId="3498"/>
    <cellStyle name="Currency 16 8" xfId="3499"/>
    <cellStyle name="Currency 16 9" xfId="3500"/>
    <cellStyle name="Currency 17" xfId="949"/>
    <cellStyle name="Currency 17 10" xfId="3501"/>
    <cellStyle name="Currency 17 11" xfId="3502"/>
    <cellStyle name="Currency 17 12" xfId="3503"/>
    <cellStyle name="Currency 17 13" xfId="3504"/>
    <cellStyle name="Currency 17 14" xfId="3505"/>
    <cellStyle name="Currency 17 15" xfId="3506"/>
    <cellStyle name="Currency 17 16" xfId="3507"/>
    <cellStyle name="Currency 17 17" xfId="3508"/>
    <cellStyle name="Currency 17 18" xfId="3509"/>
    <cellStyle name="Currency 17 19" xfId="3510"/>
    <cellStyle name="Currency 17 2" xfId="3511"/>
    <cellStyle name="Currency 17 20" xfId="3512"/>
    <cellStyle name="Currency 17 3" xfId="3513"/>
    <cellStyle name="Currency 17 4" xfId="3514"/>
    <cellStyle name="Currency 17 5" xfId="3515"/>
    <cellStyle name="Currency 17 6" xfId="3516"/>
    <cellStyle name="Currency 17 7" xfId="3517"/>
    <cellStyle name="Currency 17 8" xfId="3518"/>
    <cellStyle name="Currency 17 9" xfId="3519"/>
    <cellStyle name="Currency 18" xfId="950"/>
    <cellStyle name="Currency 18 10" xfId="3520"/>
    <cellStyle name="Currency 18 11" xfId="3521"/>
    <cellStyle name="Currency 18 12" xfId="3522"/>
    <cellStyle name="Currency 18 13" xfId="3523"/>
    <cellStyle name="Currency 18 14" xfId="3524"/>
    <cellStyle name="Currency 18 15" xfId="3525"/>
    <cellStyle name="Currency 18 16" xfId="3526"/>
    <cellStyle name="Currency 18 17" xfId="3527"/>
    <cellStyle name="Currency 18 18" xfId="3528"/>
    <cellStyle name="Currency 18 19" xfId="3529"/>
    <cellStyle name="Currency 18 2" xfId="3530"/>
    <cellStyle name="Currency 18 20" xfId="3531"/>
    <cellStyle name="Currency 18 3" xfId="3532"/>
    <cellStyle name="Currency 18 4" xfId="3533"/>
    <cellStyle name="Currency 18 5" xfId="3534"/>
    <cellStyle name="Currency 18 6" xfId="3535"/>
    <cellStyle name="Currency 18 7" xfId="3536"/>
    <cellStyle name="Currency 18 8" xfId="3537"/>
    <cellStyle name="Currency 18 9" xfId="3538"/>
    <cellStyle name="Currency 19" xfId="951"/>
    <cellStyle name="Currency 19 10" xfId="3539"/>
    <cellStyle name="Currency 19 11" xfId="3540"/>
    <cellStyle name="Currency 19 12" xfId="3541"/>
    <cellStyle name="Currency 19 13" xfId="3542"/>
    <cellStyle name="Currency 19 14" xfId="3543"/>
    <cellStyle name="Currency 19 15" xfId="3544"/>
    <cellStyle name="Currency 19 16" xfId="3545"/>
    <cellStyle name="Currency 19 17" xfId="3546"/>
    <cellStyle name="Currency 19 18" xfId="3547"/>
    <cellStyle name="Currency 19 19" xfId="3548"/>
    <cellStyle name="Currency 19 2" xfId="3549"/>
    <cellStyle name="Currency 19 20" xfId="3550"/>
    <cellStyle name="Currency 19 3" xfId="3551"/>
    <cellStyle name="Currency 19 4" xfId="3552"/>
    <cellStyle name="Currency 19 5" xfId="3553"/>
    <cellStyle name="Currency 19 6" xfId="3554"/>
    <cellStyle name="Currency 19 7" xfId="3555"/>
    <cellStyle name="Currency 19 8" xfId="3556"/>
    <cellStyle name="Currency 19 9" xfId="3557"/>
    <cellStyle name="Currency 2" xfId="952"/>
    <cellStyle name="Currency 2 2" xfId="3558"/>
    <cellStyle name="Currency 2 3" xfId="3559"/>
    <cellStyle name="Currency 2 4" xfId="3560"/>
    <cellStyle name="Currency 20" xfId="953"/>
    <cellStyle name="Currency 20 10" xfId="3561"/>
    <cellStyle name="Currency 20 11" xfId="3562"/>
    <cellStyle name="Currency 20 12" xfId="3563"/>
    <cellStyle name="Currency 20 13" xfId="3564"/>
    <cellStyle name="Currency 20 14" xfId="3565"/>
    <cellStyle name="Currency 20 15" xfId="3566"/>
    <cellStyle name="Currency 20 16" xfId="3567"/>
    <cellStyle name="Currency 20 17" xfId="3568"/>
    <cellStyle name="Currency 20 18" xfId="3569"/>
    <cellStyle name="Currency 20 19" xfId="3570"/>
    <cellStyle name="Currency 20 2" xfId="3571"/>
    <cellStyle name="Currency 20 20" xfId="3572"/>
    <cellStyle name="Currency 20 3" xfId="3573"/>
    <cellStyle name="Currency 20 4" xfId="3574"/>
    <cellStyle name="Currency 20 5" xfId="3575"/>
    <cellStyle name="Currency 20 6" xfId="3576"/>
    <cellStyle name="Currency 20 7" xfId="3577"/>
    <cellStyle name="Currency 20 8" xfId="3578"/>
    <cellStyle name="Currency 20 9" xfId="3579"/>
    <cellStyle name="Currency 21" xfId="954"/>
    <cellStyle name="Currency 21 10" xfId="3580"/>
    <cellStyle name="Currency 21 11" xfId="3581"/>
    <cellStyle name="Currency 21 12" xfId="3582"/>
    <cellStyle name="Currency 21 13" xfId="3583"/>
    <cellStyle name="Currency 21 14" xfId="3584"/>
    <cellStyle name="Currency 21 15" xfId="3585"/>
    <cellStyle name="Currency 21 16" xfId="3586"/>
    <cellStyle name="Currency 21 17" xfId="3587"/>
    <cellStyle name="Currency 21 18" xfId="3588"/>
    <cellStyle name="Currency 21 19" xfId="3589"/>
    <cellStyle name="Currency 21 2" xfId="3590"/>
    <cellStyle name="Currency 21 20" xfId="3591"/>
    <cellStyle name="Currency 21 3" xfId="3592"/>
    <cellStyle name="Currency 21 4" xfId="3593"/>
    <cellStyle name="Currency 21 5" xfId="3594"/>
    <cellStyle name="Currency 21 6" xfId="3595"/>
    <cellStyle name="Currency 21 7" xfId="3596"/>
    <cellStyle name="Currency 21 8" xfId="3597"/>
    <cellStyle name="Currency 21 9" xfId="3598"/>
    <cellStyle name="Currency 22" xfId="955"/>
    <cellStyle name="Currency 22 10" xfId="3599"/>
    <cellStyle name="Currency 22 11" xfId="3600"/>
    <cellStyle name="Currency 22 12" xfId="3601"/>
    <cellStyle name="Currency 22 13" xfId="3602"/>
    <cellStyle name="Currency 22 14" xfId="3603"/>
    <cellStyle name="Currency 22 15" xfId="3604"/>
    <cellStyle name="Currency 22 16" xfId="3605"/>
    <cellStyle name="Currency 22 17" xfId="3606"/>
    <cellStyle name="Currency 22 18" xfId="3607"/>
    <cellStyle name="Currency 22 19" xfId="3608"/>
    <cellStyle name="Currency 22 2" xfId="3609"/>
    <cellStyle name="Currency 22 20" xfId="3610"/>
    <cellStyle name="Currency 22 3" xfId="3611"/>
    <cellStyle name="Currency 22 4" xfId="3612"/>
    <cellStyle name="Currency 22 5" xfId="3613"/>
    <cellStyle name="Currency 22 6" xfId="3614"/>
    <cellStyle name="Currency 22 7" xfId="3615"/>
    <cellStyle name="Currency 22 8" xfId="3616"/>
    <cellStyle name="Currency 22 9" xfId="3617"/>
    <cellStyle name="Currency 23" xfId="956"/>
    <cellStyle name="Currency 23 10" xfId="3618"/>
    <cellStyle name="Currency 23 11" xfId="3619"/>
    <cellStyle name="Currency 23 12" xfId="3620"/>
    <cellStyle name="Currency 23 13" xfId="3621"/>
    <cellStyle name="Currency 23 14" xfId="3622"/>
    <cellStyle name="Currency 23 15" xfId="3623"/>
    <cellStyle name="Currency 23 16" xfId="3624"/>
    <cellStyle name="Currency 23 17" xfId="3625"/>
    <cellStyle name="Currency 23 18" xfId="3626"/>
    <cellStyle name="Currency 23 19" xfId="3627"/>
    <cellStyle name="Currency 23 2" xfId="3628"/>
    <cellStyle name="Currency 23 20" xfId="3629"/>
    <cellStyle name="Currency 23 3" xfId="3630"/>
    <cellStyle name="Currency 23 4" xfId="3631"/>
    <cellStyle name="Currency 23 5" xfId="3632"/>
    <cellStyle name="Currency 23 6" xfId="3633"/>
    <cellStyle name="Currency 23 7" xfId="3634"/>
    <cellStyle name="Currency 23 8" xfId="3635"/>
    <cellStyle name="Currency 23 9" xfId="3636"/>
    <cellStyle name="Currency 24" xfId="957"/>
    <cellStyle name="Currency 25" xfId="958"/>
    <cellStyle name="Currency 26" xfId="959"/>
    <cellStyle name="Currency 27" xfId="960"/>
    <cellStyle name="Currency 28" xfId="961"/>
    <cellStyle name="Currency 29" xfId="962"/>
    <cellStyle name="Currency 3" xfId="963"/>
    <cellStyle name="Currency 30" xfId="964"/>
    <cellStyle name="Currency 31" xfId="965"/>
    <cellStyle name="Currency 32" xfId="966"/>
    <cellStyle name="Currency 33" xfId="967"/>
    <cellStyle name="Currency 34" xfId="968"/>
    <cellStyle name="Currency 35" xfId="969"/>
    <cellStyle name="Currency 36" xfId="970"/>
    <cellStyle name="Currency 37" xfId="971"/>
    <cellStyle name="Currency 38" xfId="972"/>
    <cellStyle name="Currency 38 10" xfId="3637"/>
    <cellStyle name="Currency 38 11" xfId="3638"/>
    <cellStyle name="Currency 38 12" xfId="3639"/>
    <cellStyle name="Currency 38 13" xfId="3640"/>
    <cellStyle name="Currency 38 14" xfId="3641"/>
    <cellStyle name="Currency 38 2" xfId="3642"/>
    <cellStyle name="Currency 38 3" xfId="3643"/>
    <cellStyle name="Currency 38 4" xfId="3644"/>
    <cellStyle name="Currency 38 5" xfId="3645"/>
    <cellStyle name="Currency 38 6" xfId="3646"/>
    <cellStyle name="Currency 38 7" xfId="3647"/>
    <cellStyle name="Currency 38 8" xfId="3648"/>
    <cellStyle name="Currency 38 9" xfId="3649"/>
    <cellStyle name="Currency 39" xfId="973"/>
    <cellStyle name="Currency 39 10" xfId="3650"/>
    <cellStyle name="Currency 39 11" xfId="3651"/>
    <cellStyle name="Currency 39 12" xfId="3652"/>
    <cellStyle name="Currency 39 13" xfId="3653"/>
    <cellStyle name="Currency 39 14" xfId="3654"/>
    <cellStyle name="Currency 39 2" xfId="3655"/>
    <cellStyle name="Currency 39 3" xfId="3656"/>
    <cellStyle name="Currency 39 4" xfId="3657"/>
    <cellStyle name="Currency 39 5" xfId="3658"/>
    <cellStyle name="Currency 39 6" xfId="3659"/>
    <cellStyle name="Currency 39 7" xfId="3660"/>
    <cellStyle name="Currency 39 8" xfId="3661"/>
    <cellStyle name="Currency 39 9" xfId="3662"/>
    <cellStyle name="Currency 4" xfId="974"/>
    <cellStyle name="Currency 40" xfId="975"/>
    <cellStyle name="Currency 41" xfId="976"/>
    <cellStyle name="Currency 42" xfId="977"/>
    <cellStyle name="Currency 43" xfId="978"/>
    <cellStyle name="Currency 44" xfId="979"/>
    <cellStyle name="Currency 45" xfId="980"/>
    <cellStyle name="Currency 46" xfId="981"/>
    <cellStyle name="Currency 47" xfId="982"/>
    <cellStyle name="Currency 48" xfId="983"/>
    <cellStyle name="Currency 49" xfId="984"/>
    <cellStyle name="Currency 5" xfId="985"/>
    <cellStyle name="Currency 50" xfId="986"/>
    <cellStyle name="Currency 51" xfId="987"/>
    <cellStyle name="Currency 52" xfId="988"/>
    <cellStyle name="Currency 53" xfId="989"/>
    <cellStyle name="Currency 54" xfId="990"/>
    <cellStyle name="Currency 55" xfId="991"/>
    <cellStyle name="Currency 56" xfId="992"/>
    <cellStyle name="Currency 57" xfId="993"/>
    <cellStyle name="Currency 58" xfId="994"/>
    <cellStyle name="Currency 59" xfId="995"/>
    <cellStyle name="Currency 6" xfId="996"/>
    <cellStyle name="Currency 60" xfId="997"/>
    <cellStyle name="Currency 61" xfId="998"/>
    <cellStyle name="Currency 62" xfId="999"/>
    <cellStyle name="Currency 63" xfId="1000"/>
    <cellStyle name="Currency 64" xfId="1001"/>
    <cellStyle name="Currency 65" xfId="1002"/>
    <cellStyle name="Currency 66" xfId="1003"/>
    <cellStyle name="Currency 67" xfId="1004"/>
    <cellStyle name="Currency 68" xfId="1005"/>
    <cellStyle name="Currency 69" xfId="1006"/>
    <cellStyle name="Currency 7" xfId="1007"/>
    <cellStyle name="Currency 7 10" xfId="3663"/>
    <cellStyle name="Currency 7 11" xfId="3664"/>
    <cellStyle name="Currency 7 12" xfId="3665"/>
    <cellStyle name="Currency 7 13" xfId="3666"/>
    <cellStyle name="Currency 7 14" xfId="3667"/>
    <cellStyle name="Currency 7 15" xfId="3668"/>
    <cellStyle name="Currency 7 16" xfId="3669"/>
    <cellStyle name="Currency 7 17" xfId="3670"/>
    <cellStyle name="Currency 7 18" xfId="3671"/>
    <cellStyle name="Currency 7 19" xfId="3672"/>
    <cellStyle name="Currency 7 2" xfId="3673"/>
    <cellStyle name="Currency 7 20" xfId="3674"/>
    <cellStyle name="Currency 7 3" xfId="3675"/>
    <cellStyle name="Currency 7 4" xfId="3676"/>
    <cellStyle name="Currency 7 5" xfId="3677"/>
    <cellStyle name="Currency 7 6" xfId="3678"/>
    <cellStyle name="Currency 7 7" xfId="3679"/>
    <cellStyle name="Currency 7 8" xfId="3680"/>
    <cellStyle name="Currency 7 9" xfId="3681"/>
    <cellStyle name="Currency 70" xfId="1008"/>
    <cellStyle name="Currency 71" xfId="1009"/>
    <cellStyle name="Currency 72" xfId="1010"/>
    <cellStyle name="Currency 73" xfId="1011"/>
    <cellStyle name="Currency 74" xfId="1012"/>
    <cellStyle name="Currency 75" xfId="1013"/>
    <cellStyle name="Currency 76" xfId="1014"/>
    <cellStyle name="Currency 77" xfId="1015"/>
    <cellStyle name="Currency 78" xfId="1016"/>
    <cellStyle name="Currency 79" xfId="1017"/>
    <cellStyle name="Currency 8" xfId="1018"/>
    <cellStyle name="Currency 8 10" xfId="3682"/>
    <cellStyle name="Currency 8 11" xfId="3683"/>
    <cellStyle name="Currency 8 12" xfId="3684"/>
    <cellStyle name="Currency 8 13" xfId="3685"/>
    <cellStyle name="Currency 8 14" xfId="3686"/>
    <cellStyle name="Currency 8 15" xfId="3687"/>
    <cellStyle name="Currency 8 16" xfId="3688"/>
    <cellStyle name="Currency 8 17" xfId="3689"/>
    <cellStyle name="Currency 8 18" xfId="3690"/>
    <cellStyle name="Currency 8 19" xfId="3691"/>
    <cellStyle name="Currency 8 2" xfId="3692"/>
    <cellStyle name="Currency 8 20" xfId="3693"/>
    <cellStyle name="Currency 8 3" xfId="3694"/>
    <cellStyle name="Currency 8 4" xfId="3695"/>
    <cellStyle name="Currency 8 5" xfId="3696"/>
    <cellStyle name="Currency 8 6" xfId="3697"/>
    <cellStyle name="Currency 8 7" xfId="3698"/>
    <cellStyle name="Currency 8 8" xfId="3699"/>
    <cellStyle name="Currency 8 9" xfId="3700"/>
    <cellStyle name="Currency 80" xfId="1019"/>
    <cellStyle name="Currency 81" xfId="1020"/>
    <cellStyle name="Currency 82" xfId="1021"/>
    <cellStyle name="Currency 83" xfId="1022"/>
    <cellStyle name="Currency 84" xfId="1023"/>
    <cellStyle name="Currency 85" xfId="1024"/>
    <cellStyle name="Currency 86" xfId="1505"/>
    <cellStyle name="Currency 87" xfId="2933"/>
    <cellStyle name="Currency 88" xfId="2934"/>
    <cellStyle name="Currency 9" xfId="1025"/>
    <cellStyle name="Currency 9 10" xfId="3701"/>
    <cellStyle name="Currency 9 11" xfId="3702"/>
    <cellStyle name="Currency 9 12" xfId="3703"/>
    <cellStyle name="Currency 9 13" xfId="3704"/>
    <cellStyle name="Currency 9 14" xfId="3705"/>
    <cellStyle name="Currency 9 15" xfId="3706"/>
    <cellStyle name="Currency 9 16" xfId="3707"/>
    <cellStyle name="Currency 9 17" xfId="3708"/>
    <cellStyle name="Currency 9 18" xfId="3709"/>
    <cellStyle name="Currency 9 19" xfId="3710"/>
    <cellStyle name="Currency 9 2" xfId="3711"/>
    <cellStyle name="Currency 9 20" xfId="3712"/>
    <cellStyle name="Currency 9 3" xfId="3713"/>
    <cellStyle name="Currency 9 4" xfId="3714"/>
    <cellStyle name="Currency 9 5" xfId="3715"/>
    <cellStyle name="Currency 9 6" xfId="3716"/>
    <cellStyle name="Currency 9 7" xfId="3717"/>
    <cellStyle name="Currency 9 8" xfId="3718"/>
    <cellStyle name="Currency 9 9" xfId="3719"/>
    <cellStyle name="Explanatory Text 10" xfId="1026"/>
    <cellStyle name="Explanatory Text 11" xfId="1027"/>
    <cellStyle name="Explanatory Text 12" xfId="1028"/>
    <cellStyle name="Explanatory Text 13" xfId="1029"/>
    <cellStyle name="Explanatory Text 14" xfId="1030"/>
    <cellStyle name="Explanatory Text 15" xfId="1031"/>
    <cellStyle name="Explanatory Text 16" xfId="1032"/>
    <cellStyle name="Explanatory Text 17" xfId="1033"/>
    <cellStyle name="Explanatory Text 18" xfId="1034"/>
    <cellStyle name="Explanatory Text 19" xfId="1035"/>
    <cellStyle name="Explanatory Text 2" xfId="1036"/>
    <cellStyle name="Explanatory Text 20" xfId="1037"/>
    <cellStyle name="Explanatory Text 21" xfId="1038"/>
    <cellStyle name="Explanatory Text 22" xfId="1039"/>
    <cellStyle name="Explanatory Text 23" xfId="1040"/>
    <cellStyle name="Explanatory Text 23 10" xfId="3720"/>
    <cellStyle name="Explanatory Text 23 11" xfId="3721"/>
    <cellStyle name="Explanatory Text 23 12" xfId="3722"/>
    <cellStyle name="Explanatory Text 23 13" xfId="3723"/>
    <cellStyle name="Explanatory Text 23 14" xfId="3724"/>
    <cellStyle name="Explanatory Text 23 2" xfId="3725"/>
    <cellStyle name="Explanatory Text 23 3" xfId="3726"/>
    <cellStyle name="Explanatory Text 23 4" xfId="3727"/>
    <cellStyle name="Explanatory Text 23 5" xfId="3728"/>
    <cellStyle name="Explanatory Text 23 6" xfId="3729"/>
    <cellStyle name="Explanatory Text 23 7" xfId="3730"/>
    <cellStyle name="Explanatory Text 23 8" xfId="3731"/>
    <cellStyle name="Explanatory Text 23 9" xfId="3732"/>
    <cellStyle name="Explanatory Text 24" xfId="1041"/>
    <cellStyle name="Explanatory Text 24 10" xfId="3733"/>
    <cellStyle name="Explanatory Text 24 11" xfId="3734"/>
    <cellStyle name="Explanatory Text 24 12" xfId="3735"/>
    <cellStyle name="Explanatory Text 24 13" xfId="3736"/>
    <cellStyle name="Explanatory Text 24 14" xfId="3737"/>
    <cellStyle name="Explanatory Text 24 2" xfId="3738"/>
    <cellStyle name="Explanatory Text 24 3" xfId="3739"/>
    <cellStyle name="Explanatory Text 24 4" xfId="3740"/>
    <cellStyle name="Explanatory Text 24 5" xfId="3741"/>
    <cellStyle name="Explanatory Text 24 6" xfId="3742"/>
    <cellStyle name="Explanatory Text 24 7" xfId="3743"/>
    <cellStyle name="Explanatory Text 24 8" xfId="3744"/>
    <cellStyle name="Explanatory Text 24 9" xfId="3745"/>
    <cellStyle name="Explanatory Text 25" xfId="1042"/>
    <cellStyle name="Explanatory Text 26" xfId="1043"/>
    <cellStyle name="Explanatory Text 27" xfId="1044"/>
    <cellStyle name="Explanatory Text 28" xfId="1045"/>
    <cellStyle name="Explanatory Text 29" xfId="1046"/>
    <cellStyle name="Explanatory Text 3" xfId="1047"/>
    <cellStyle name="Explanatory Text 30" xfId="1048"/>
    <cellStyle name="Explanatory Text 31" xfId="3746"/>
    <cellStyle name="Explanatory Text 32" xfId="3747"/>
    <cellStyle name="Explanatory Text 33" xfId="3748"/>
    <cellStyle name="Explanatory Text 4" xfId="1049"/>
    <cellStyle name="Explanatory Text 5" xfId="1050"/>
    <cellStyle name="Explanatory Text 6" xfId="1051"/>
    <cellStyle name="Explanatory Text 7" xfId="1052"/>
    <cellStyle name="Explanatory Text 8" xfId="1053"/>
    <cellStyle name="Explanatory Text 9" xfId="1054"/>
    <cellStyle name="Good 10" xfId="1055"/>
    <cellStyle name="Good 11" xfId="1056"/>
    <cellStyle name="Good 12" xfId="1057"/>
    <cellStyle name="Good 13" xfId="1058"/>
    <cellStyle name="Good 14" xfId="1059"/>
    <cellStyle name="Good 15" xfId="1060"/>
    <cellStyle name="Good 16" xfId="1061"/>
    <cellStyle name="Good 17" xfId="1062"/>
    <cellStyle name="Good 18" xfId="1063"/>
    <cellStyle name="Good 19" xfId="1064"/>
    <cellStyle name="Good 2" xfId="1065"/>
    <cellStyle name="Good 20" xfId="1066"/>
    <cellStyle name="Good 21" xfId="1067"/>
    <cellStyle name="Good 22" xfId="1068"/>
    <cellStyle name="Good 23" xfId="1069"/>
    <cellStyle name="Good 23 10" xfId="3749"/>
    <cellStyle name="Good 23 11" xfId="3750"/>
    <cellStyle name="Good 23 12" xfId="3751"/>
    <cellStyle name="Good 23 13" xfId="3752"/>
    <cellStyle name="Good 23 14" xfId="3753"/>
    <cellStyle name="Good 23 2" xfId="3754"/>
    <cellStyle name="Good 23 3" xfId="3755"/>
    <cellStyle name="Good 23 4" xfId="3756"/>
    <cellStyle name="Good 23 5" xfId="3757"/>
    <cellStyle name="Good 23 6" xfId="3758"/>
    <cellStyle name="Good 23 7" xfId="3759"/>
    <cellStyle name="Good 23 8" xfId="3760"/>
    <cellStyle name="Good 23 9" xfId="3761"/>
    <cellStyle name="Good 24" xfId="1070"/>
    <cellStyle name="Good 24 10" xfId="3762"/>
    <cellStyle name="Good 24 11" xfId="3763"/>
    <cellStyle name="Good 24 12" xfId="3764"/>
    <cellStyle name="Good 24 13" xfId="3765"/>
    <cellStyle name="Good 24 14" xfId="3766"/>
    <cellStyle name="Good 24 2" xfId="3767"/>
    <cellStyle name="Good 24 3" xfId="3768"/>
    <cellStyle name="Good 24 4" xfId="3769"/>
    <cellStyle name="Good 24 5" xfId="3770"/>
    <cellStyle name="Good 24 6" xfId="3771"/>
    <cellStyle name="Good 24 7" xfId="3772"/>
    <cellStyle name="Good 24 8" xfId="3773"/>
    <cellStyle name="Good 24 9" xfId="3774"/>
    <cellStyle name="Good 25" xfId="1071"/>
    <cellStyle name="Good 26" xfId="1072"/>
    <cellStyle name="Good 27" xfId="1073"/>
    <cellStyle name="Good 28" xfId="1074"/>
    <cellStyle name="Good 29" xfId="1075"/>
    <cellStyle name="Good 3" xfId="1076"/>
    <cellStyle name="Good 30" xfId="1077"/>
    <cellStyle name="Good 31" xfId="3775"/>
    <cellStyle name="Good 32" xfId="3776"/>
    <cellStyle name="Good 33" xfId="3777"/>
    <cellStyle name="Good 4" xfId="1078"/>
    <cellStyle name="Good 5" xfId="1079"/>
    <cellStyle name="Good 6" xfId="1080"/>
    <cellStyle name="Good 7" xfId="1081"/>
    <cellStyle name="Good 8" xfId="1082"/>
    <cellStyle name="Good 9" xfId="1083"/>
    <cellStyle name="Heading 1 10" xfId="1084"/>
    <cellStyle name="Heading 1 11" xfId="1085"/>
    <cellStyle name="Heading 1 12" xfId="1086"/>
    <cellStyle name="Heading 1 13" xfId="1087"/>
    <cellStyle name="Heading 1 14" xfId="1088"/>
    <cellStyle name="Heading 1 15" xfId="1089"/>
    <cellStyle name="Heading 1 16" xfId="1090"/>
    <cellStyle name="Heading 1 17" xfId="1091"/>
    <cellStyle name="Heading 1 18" xfId="1092"/>
    <cellStyle name="Heading 1 19" xfId="1093"/>
    <cellStyle name="Heading 1 2" xfId="1094"/>
    <cellStyle name="Heading 1 20" xfId="1095"/>
    <cellStyle name="Heading 1 21" xfId="1096"/>
    <cellStyle name="Heading 1 22" xfId="1097"/>
    <cellStyle name="Heading 1 23" xfId="1098"/>
    <cellStyle name="Heading 1 23 10" xfId="3778"/>
    <cellStyle name="Heading 1 23 11" xfId="3779"/>
    <cellStyle name="Heading 1 23 12" xfId="3780"/>
    <cellStyle name="Heading 1 23 13" xfId="3781"/>
    <cellStyle name="Heading 1 23 14" xfId="3782"/>
    <cellStyle name="Heading 1 23 2" xfId="3783"/>
    <cellStyle name="Heading 1 23 3" xfId="3784"/>
    <cellStyle name="Heading 1 23 4" xfId="3785"/>
    <cellStyle name="Heading 1 23 5" xfId="3786"/>
    <cellStyle name="Heading 1 23 6" xfId="3787"/>
    <cellStyle name="Heading 1 23 7" xfId="3788"/>
    <cellStyle name="Heading 1 23 8" xfId="3789"/>
    <cellStyle name="Heading 1 23 9" xfId="3790"/>
    <cellStyle name="Heading 1 24" xfId="1099"/>
    <cellStyle name="Heading 1 24 10" xfId="3791"/>
    <cellStyle name="Heading 1 24 11" xfId="3792"/>
    <cellStyle name="Heading 1 24 12" xfId="3793"/>
    <cellStyle name="Heading 1 24 13" xfId="3794"/>
    <cellStyle name="Heading 1 24 14" xfId="3795"/>
    <cellStyle name="Heading 1 24 2" xfId="3796"/>
    <cellStyle name="Heading 1 24 3" xfId="3797"/>
    <cellStyle name="Heading 1 24 4" xfId="3798"/>
    <cellStyle name="Heading 1 24 5" xfId="3799"/>
    <cellStyle name="Heading 1 24 6" xfId="3800"/>
    <cellStyle name="Heading 1 24 7" xfId="3801"/>
    <cellStyle name="Heading 1 24 8" xfId="3802"/>
    <cellStyle name="Heading 1 24 9" xfId="3803"/>
    <cellStyle name="Heading 1 25" xfId="1100"/>
    <cellStyle name="Heading 1 26" xfId="1101"/>
    <cellStyle name="Heading 1 27" xfId="1102"/>
    <cellStyle name="Heading 1 28" xfId="1103"/>
    <cellStyle name="Heading 1 29" xfId="1104"/>
    <cellStyle name="Heading 1 3" xfId="1105"/>
    <cellStyle name="Heading 1 30" xfId="1106"/>
    <cellStyle name="Heading 1 31" xfId="3804"/>
    <cellStyle name="Heading 1 32" xfId="3805"/>
    <cellStyle name="Heading 1 33" xfId="38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 10" xfId="1113"/>
    <cellStyle name="Heading 2 11" xfId="1114"/>
    <cellStyle name="Heading 2 12" xfId="1115"/>
    <cellStyle name="Heading 2 13" xfId="1116"/>
    <cellStyle name="Heading 2 14" xfId="1117"/>
    <cellStyle name="Heading 2 15" xfId="1118"/>
    <cellStyle name="Heading 2 16" xfId="1119"/>
    <cellStyle name="Heading 2 17" xfId="1120"/>
    <cellStyle name="Heading 2 18" xfId="1121"/>
    <cellStyle name="Heading 2 19" xfId="1122"/>
    <cellStyle name="Heading 2 2" xfId="1123"/>
    <cellStyle name="Heading 2 20" xfId="1124"/>
    <cellStyle name="Heading 2 21" xfId="1125"/>
    <cellStyle name="Heading 2 22" xfId="1126"/>
    <cellStyle name="Heading 2 23" xfId="1127"/>
    <cellStyle name="Heading 2 23 10" xfId="3807"/>
    <cellStyle name="Heading 2 23 11" xfId="3808"/>
    <cellStyle name="Heading 2 23 12" xfId="3809"/>
    <cellStyle name="Heading 2 23 13" xfId="3810"/>
    <cellStyle name="Heading 2 23 14" xfId="3811"/>
    <cellStyle name="Heading 2 23 2" xfId="3812"/>
    <cellStyle name="Heading 2 23 3" xfId="3813"/>
    <cellStyle name="Heading 2 23 4" xfId="3814"/>
    <cellStyle name="Heading 2 23 5" xfId="3815"/>
    <cellStyle name="Heading 2 23 6" xfId="3816"/>
    <cellStyle name="Heading 2 23 7" xfId="3817"/>
    <cellStyle name="Heading 2 23 8" xfId="3818"/>
    <cellStyle name="Heading 2 23 9" xfId="3819"/>
    <cellStyle name="Heading 2 24" xfId="1128"/>
    <cellStyle name="Heading 2 24 10" xfId="3820"/>
    <cellStyle name="Heading 2 24 11" xfId="3821"/>
    <cellStyle name="Heading 2 24 12" xfId="3822"/>
    <cellStyle name="Heading 2 24 13" xfId="3823"/>
    <cellStyle name="Heading 2 24 14" xfId="3824"/>
    <cellStyle name="Heading 2 24 2" xfId="3825"/>
    <cellStyle name="Heading 2 24 3" xfId="3826"/>
    <cellStyle name="Heading 2 24 4" xfId="3827"/>
    <cellStyle name="Heading 2 24 5" xfId="3828"/>
    <cellStyle name="Heading 2 24 6" xfId="3829"/>
    <cellStyle name="Heading 2 24 7" xfId="3830"/>
    <cellStyle name="Heading 2 24 8" xfId="3831"/>
    <cellStyle name="Heading 2 24 9" xfId="3832"/>
    <cellStyle name="Heading 2 25" xfId="1129"/>
    <cellStyle name="Heading 2 26" xfId="1130"/>
    <cellStyle name="Heading 2 27" xfId="1131"/>
    <cellStyle name="Heading 2 28" xfId="1132"/>
    <cellStyle name="Heading 2 29" xfId="1133"/>
    <cellStyle name="Heading 2 3" xfId="1134"/>
    <cellStyle name="Heading 2 30" xfId="1135"/>
    <cellStyle name="Heading 2 31" xfId="3833"/>
    <cellStyle name="Heading 2 32" xfId="3834"/>
    <cellStyle name="Heading 2 33" xfId="3835"/>
    <cellStyle name="Heading 2 4" xfId="1136"/>
    <cellStyle name="Heading 2 5" xfId="1137"/>
    <cellStyle name="Heading 2 6" xfId="1138"/>
    <cellStyle name="Heading 2 7" xfId="1139"/>
    <cellStyle name="Heading 2 8" xfId="1140"/>
    <cellStyle name="Heading 2 9" xfId="1141"/>
    <cellStyle name="Heading 3 10" xfId="1142"/>
    <cellStyle name="Heading 3 11" xfId="1143"/>
    <cellStyle name="Heading 3 12" xfId="1144"/>
    <cellStyle name="Heading 3 13" xfId="1145"/>
    <cellStyle name="Heading 3 14" xfId="1146"/>
    <cellStyle name="Heading 3 15" xfId="1147"/>
    <cellStyle name="Heading 3 16" xfId="1148"/>
    <cellStyle name="Heading 3 17" xfId="1149"/>
    <cellStyle name="Heading 3 18" xfId="1150"/>
    <cellStyle name="Heading 3 19" xfId="1151"/>
    <cellStyle name="Heading 3 2" xfId="1152"/>
    <cellStyle name="Heading 3 20" xfId="1153"/>
    <cellStyle name="Heading 3 21" xfId="1154"/>
    <cellStyle name="Heading 3 22" xfId="1155"/>
    <cellStyle name="Heading 3 23" xfId="1156"/>
    <cellStyle name="Heading 3 23 10" xfId="3836"/>
    <cellStyle name="Heading 3 23 11" xfId="3837"/>
    <cellStyle name="Heading 3 23 12" xfId="3838"/>
    <cellStyle name="Heading 3 23 13" xfId="3839"/>
    <cellStyle name="Heading 3 23 14" xfId="3840"/>
    <cellStyle name="Heading 3 23 2" xfId="3841"/>
    <cellStyle name="Heading 3 23 3" xfId="3842"/>
    <cellStyle name="Heading 3 23 4" xfId="3843"/>
    <cellStyle name="Heading 3 23 5" xfId="3844"/>
    <cellStyle name="Heading 3 23 6" xfId="3845"/>
    <cellStyle name="Heading 3 23 7" xfId="3846"/>
    <cellStyle name="Heading 3 23 8" xfId="3847"/>
    <cellStyle name="Heading 3 23 9" xfId="3848"/>
    <cellStyle name="Heading 3 24" xfId="1157"/>
    <cellStyle name="Heading 3 24 10" xfId="3849"/>
    <cellStyle name="Heading 3 24 11" xfId="3850"/>
    <cellStyle name="Heading 3 24 12" xfId="3851"/>
    <cellStyle name="Heading 3 24 13" xfId="3852"/>
    <cellStyle name="Heading 3 24 14" xfId="3853"/>
    <cellStyle name="Heading 3 24 2" xfId="3854"/>
    <cellStyle name="Heading 3 24 3" xfId="3855"/>
    <cellStyle name="Heading 3 24 4" xfId="3856"/>
    <cellStyle name="Heading 3 24 5" xfId="3857"/>
    <cellStyle name="Heading 3 24 6" xfId="3858"/>
    <cellStyle name="Heading 3 24 7" xfId="3859"/>
    <cellStyle name="Heading 3 24 8" xfId="3860"/>
    <cellStyle name="Heading 3 24 9" xfId="3861"/>
    <cellStyle name="Heading 3 25" xfId="1158"/>
    <cellStyle name="Heading 3 26" xfId="1159"/>
    <cellStyle name="Heading 3 27" xfId="1160"/>
    <cellStyle name="Heading 3 28" xfId="1161"/>
    <cellStyle name="Heading 3 29" xfId="1162"/>
    <cellStyle name="Heading 3 3" xfId="1163"/>
    <cellStyle name="Heading 3 30" xfId="1164"/>
    <cellStyle name="Heading 3 31" xfId="3862"/>
    <cellStyle name="Heading 3 32" xfId="3863"/>
    <cellStyle name="Heading 3 33" xfId="3864"/>
    <cellStyle name="Heading 3 4" xfId="1165"/>
    <cellStyle name="Heading 3 5" xfId="1166"/>
    <cellStyle name="Heading 3 6" xfId="1167"/>
    <cellStyle name="Heading 3 7" xfId="1168"/>
    <cellStyle name="Heading 3 8" xfId="1169"/>
    <cellStyle name="Heading 3 9" xfId="1170"/>
    <cellStyle name="Heading 4 10" xfId="1171"/>
    <cellStyle name="Heading 4 11" xfId="1172"/>
    <cellStyle name="Heading 4 12" xfId="1173"/>
    <cellStyle name="Heading 4 13" xfId="1174"/>
    <cellStyle name="Heading 4 14" xfId="1175"/>
    <cellStyle name="Heading 4 15" xfId="1176"/>
    <cellStyle name="Heading 4 16" xfId="1177"/>
    <cellStyle name="Heading 4 17" xfId="1178"/>
    <cellStyle name="Heading 4 18" xfId="1179"/>
    <cellStyle name="Heading 4 19" xfId="1180"/>
    <cellStyle name="Heading 4 2" xfId="1181"/>
    <cellStyle name="Heading 4 20" xfId="1182"/>
    <cellStyle name="Heading 4 21" xfId="1183"/>
    <cellStyle name="Heading 4 22" xfId="1184"/>
    <cellStyle name="Heading 4 23" xfId="1185"/>
    <cellStyle name="Heading 4 23 10" xfId="3865"/>
    <cellStyle name="Heading 4 23 11" xfId="3866"/>
    <cellStyle name="Heading 4 23 12" xfId="3867"/>
    <cellStyle name="Heading 4 23 13" xfId="3868"/>
    <cellStyle name="Heading 4 23 14" xfId="3869"/>
    <cellStyle name="Heading 4 23 2" xfId="3870"/>
    <cellStyle name="Heading 4 23 3" xfId="3871"/>
    <cellStyle name="Heading 4 23 4" xfId="3872"/>
    <cellStyle name="Heading 4 23 5" xfId="3873"/>
    <cellStyle name="Heading 4 23 6" xfId="3874"/>
    <cellStyle name="Heading 4 23 7" xfId="3875"/>
    <cellStyle name="Heading 4 23 8" xfId="3876"/>
    <cellStyle name="Heading 4 23 9" xfId="3877"/>
    <cellStyle name="Heading 4 24" xfId="1186"/>
    <cellStyle name="Heading 4 24 10" xfId="3878"/>
    <cellStyle name="Heading 4 24 11" xfId="3879"/>
    <cellStyle name="Heading 4 24 12" xfId="3880"/>
    <cellStyle name="Heading 4 24 13" xfId="3881"/>
    <cellStyle name="Heading 4 24 14" xfId="3882"/>
    <cellStyle name="Heading 4 24 2" xfId="3883"/>
    <cellStyle name="Heading 4 24 3" xfId="3884"/>
    <cellStyle name="Heading 4 24 4" xfId="3885"/>
    <cellStyle name="Heading 4 24 5" xfId="3886"/>
    <cellStyle name="Heading 4 24 6" xfId="3887"/>
    <cellStyle name="Heading 4 24 7" xfId="3888"/>
    <cellStyle name="Heading 4 24 8" xfId="3889"/>
    <cellStyle name="Heading 4 24 9" xfId="3890"/>
    <cellStyle name="Heading 4 25" xfId="1187"/>
    <cellStyle name="Heading 4 26" xfId="1188"/>
    <cellStyle name="Heading 4 27" xfId="1189"/>
    <cellStyle name="Heading 4 28" xfId="1190"/>
    <cellStyle name="Heading 4 29" xfId="1191"/>
    <cellStyle name="Heading 4 3" xfId="1192"/>
    <cellStyle name="Heading 4 30" xfId="1193"/>
    <cellStyle name="Heading 4 31" xfId="3891"/>
    <cellStyle name="Heading 4 32" xfId="3892"/>
    <cellStyle name="Heading 4 33" xfId="3893"/>
    <cellStyle name="Heading 4 4" xfId="1194"/>
    <cellStyle name="Heading 4 5" xfId="1195"/>
    <cellStyle name="Heading 4 6" xfId="1196"/>
    <cellStyle name="Heading 4 7" xfId="1197"/>
    <cellStyle name="Heading 4 8" xfId="1198"/>
    <cellStyle name="Heading 4 9" xfId="1199"/>
    <cellStyle name="Input 10" xfId="1200"/>
    <cellStyle name="Input 11" xfId="1201"/>
    <cellStyle name="Input 12" xfId="1202"/>
    <cellStyle name="Input 13" xfId="1203"/>
    <cellStyle name="Input 14" xfId="1204"/>
    <cellStyle name="Input 15" xfId="1205"/>
    <cellStyle name="Input 16" xfId="1206"/>
    <cellStyle name="Input 17" xfId="1207"/>
    <cellStyle name="Input 18" xfId="1208"/>
    <cellStyle name="Input 19" xfId="1209"/>
    <cellStyle name="Input 2" xfId="1210"/>
    <cellStyle name="Input 20" xfId="1211"/>
    <cellStyle name="Input 21" xfId="1212"/>
    <cellStyle name="Input 22" xfId="1213"/>
    <cellStyle name="Input 23" xfId="1214"/>
    <cellStyle name="Input 23 10" xfId="3894"/>
    <cellStyle name="Input 23 11" xfId="3895"/>
    <cellStyle name="Input 23 12" xfId="3896"/>
    <cellStyle name="Input 23 13" xfId="3897"/>
    <cellStyle name="Input 23 14" xfId="3898"/>
    <cellStyle name="Input 23 2" xfId="3899"/>
    <cellStyle name="Input 23 3" xfId="3900"/>
    <cellStyle name="Input 23 4" xfId="3901"/>
    <cellStyle name="Input 23 5" xfId="3902"/>
    <cellStyle name="Input 23 6" xfId="3903"/>
    <cellStyle name="Input 23 7" xfId="3904"/>
    <cellStyle name="Input 23 8" xfId="3905"/>
    <cellStyle name="Input 23 9" xfId="3906"/>
    <cellStyle name="Input 24" xfId="1215"/>
    <cellStyle name="Input 24 10" xfId="3907"/>
    <cellStyle name="Input 24 11" xfId="3908"/>
    <cellStyle name="Input 24 12" xfId="3909"/>
    <cellStyle name="Input 24 13" xfId="3910"/>
    <cellStyle name="Input 24 14" xfId="3911"/>
    <cellStyle name="Input 24 2" xfId="3912"/>
    <cellStyle name="Input 24 3" xfId="3913"/>
    <cellStyle name="Input 24 4" xfId="3914"/>
    <cellStyle name="Input 24 5" xfId="3915"/>
    <cellStyle name="Input 24 6" xfId="3916"/>
    <cellStyle name="Input 24 7" xfId="3917"/>
    <cellStyle name="Input 24 8" xfId="3918"/>
    <cellStyle name="Input 24 9" xfId="3919"/>
    <cellStyle name="Input 25" xfId="1216"/>
    <cellStyle name="Input 26" xfId="1217"/>
    <cellStyle name="Input 27" xfId="1218"/>
    <cellStyle name="Input 28" xfId="1219"/>
    <cellStyle name="Input 29" xfId="1220"/>
    <cellStyle name="Input 3" xfId="1221"/>
    <cellStyle name="Input 30" xfId="1222"/>
    <cellStyle name="Input 31" xfId="3920"/>
    <cellStyle name="Input 32" xfId="3921"/>
    <cellStyle name="Input 33" xfId="3922"/>
    <cellStyle name="Input 4" xfId="1223"/>
    <cellStyle name="Input 5" xfId="1224"/>
    <cellStyle name="Input 6" xfId="1225"/>
    <cellStyle name="Input 7" xfId="1226"/>
    <cellStyle name="Input 8" xfId="1227"/>
    <cellStyle name="Input 9" xfId="1228"/>
    <cellStyle name="Linked Cell 10" xfId="1229"/>
    <cellStyle name="Linked Cell 11" xfId="1230"/>
    <cellStyle name="Linked Cell 12" xfId="1231"/>
    <cellStyle name="Linked Cell 13" xfId="1232"/>
    <cellStyle name="Linked Cell 14" xfId="1233"/>
    <cellStyle name="Linked Cell 15" xfId="1234"/>
    <cellStyle name="Linked Cell 16" xfId="1235"/>
    <cellStyle name="Linked Cell 17" xfId="1236"/>
    <cellStyle name="Linked Cell 18" xfId="1237"/>
    <cellStyle name="Linked Cell 19" xfId="1238"/>
    <cellStyle name="Linked Cell 2" xfId="1239"/>
    <cellStyle name="Linked Cell 20" xfId="1240"/>
    <cellStyle name="Linked Cell 21" xfId="1241"/>
    <cellStyle name="Linked Cell 22" xfId="1242"/>
    <cellStyle name="Linked Cell 23" xfId="1243"/>
    <cellStyle name="Linked Cell 23 10" xfId="3923"/>
    <cellStyle name="Linked Cell 23 11" xfId="3924"/>
    <cellStyle name="Linked Cell 23 12" xfId="3925"/>
    <cellStyle name="Linked Cell 23 13" xfId="3926"/>
    <cellStyle name="Linked Cell 23 14" xfId="3927"/>
    <cellStyle name="Linked Cell 23 2" xfId="3928"/>
    <cellStyle name="Linked Cell 23 3" xfId="3929"/>
    <cellStyle name="Linked Cell 23 4" xfId="3930"/>
    <cellStyle name="Linked Cell 23 5" xfId="3931"/>
    <cellStyle name="Linked Cell 23 6" xfId="3932"/>
    <cellStyle name="Linked Cell 23 7" xfId="3933"/>
    <cellStyle name="Linked Cell 23 8" xfId="3934"/>
    <cellStyle name="Linked Cell 23 9" xfId="3935"/>
    <cellStyle name="Linked Cell 24" xfId="1244"/>
    <cellStyle name="Linked Cell 24 10" xfId="3936"/>
    <cellStyle name="Linked Cell 24 11" xfId="3937"/>
    <cellStyle name="Linked Cell 24 12" xfId="3938"/>
    <cellStyle name="Linked Cell 24 13" xfId="3939"/>
    <cellStyle name="Linked Cell 24 14" xfId="3940"/>
    <cellStyle name="Linked Cell 24 2" xfId="3941"/>
    <cellStyle name="Linked Cell 24 3" xfId="3942"/>
    <cellStyle name="Linked Cell 24 4" xfId="3943"/>
    <cellStyle name="Linked Cell 24 5" xfId="3944"/>
    <cellStyle name="Linked Cell 24 6" xfId="3945"/>
    <cellStyle name="Linked Cell 24 7" xfId="3946"/>
    <cellStyle name="Linked Cell 24 8" xfId="3947"/>
    <cellStyle name="Linked Cell 24 9" xfId="3948"/>
    <cellStyle name="Linked Cell 25" xfId="1245"/>
    <cellStyle name="Linked Cell 26" xfId="1246"/>
    <cellStyle name="Linked Cell 27" xfId="1247"/>
    <cellStyle name="Linked Cell 28" xfId="1248"/>
    <cellStyle name="Linked Cell 29" xfId="1249"/>
    <cellStyle name="Linked Cell 3" xfId="1250"/>
    <cellStyle name="Linked Cell 30" xfId="1251"/>
    <cellStyle name="Linked Cell 31" xfId="3949"/>
    <cellStyle name="Linked Cell 32" xfId="3950"/>
    <cellStyle name="Linked Cell 33" xfId="3951"/>
    <cellStyle name="Linked Cell 4" xfId="1252"/>
    <cellStyle name="Linked Cell 5" xfId="1253"/>
    <cellStyle name="Linked Cell 6" xfId="1254"/>
    <cellStyle name="Linked Cell 7" xfId="1255"/>
    <cellStyle name="Linked Cell 8" xfId="1256"/>
    <cellStyle name="Linked Cell 9" xfId="1257"/>
    <cellStyle name="Neutral 10" xfId="1258"/>
    <cellStyle name="Neutral 11" xfId="1259"/>
    <cellStyle name="Neutral 12" xfId="1260"/>
    <cellStyle name="Neutral 13" xfId="1261"/>
    <cellStyle name="Neutral 14" xfId="1262"/>
    <cellStyle name="Neutral 15" xfId="1263"/>
    <cellStyle name="Neutral 16" xfId="1264"/>
    <cellStyle name="Neutral 17" xfId="1265"/>
    <cellStyle name="Neutral 18" xfId="1266"/>
    <cellStyle name="Neutral 19" xfId="1267"/>
    <cellStyle name="Neutral 2" xfId="1268"/>
    <cellStyle name="Neutral 20" xfId="1269"/>
    <cellStyle name="Neutral 21" xfId="1270"/>
    <cellStyle name="Neutral 22" xfId="1271"/>
    <cellStyle name="Neutral 23" xfId="1272"/>
    <cellStyle name="Neutral 23 10" xfId="3952"/>
    <cellStyle name="Neutral 23 11" xfId="3953"/>
    <cellStyle name="Neutral 23 12" xfId="3954"/>
    <cellStyle name="Neutral 23 13" xfId="3955"/>
    <cellStyle name="Neutral 23 14" xfId="3956"/>
    <cellStyle name="Neutral 23 2" xfId="3957"/>
    <cellStyle name="Neutral 23 3" xfId="3958"/>
    <cellStyle name="Neutral 23 4" xfId="3959"/>
    <cellStyle name="Neutral 23 5" xfId="3960"/>
    <cellStyle name="Neutral 23 6" xfId="3961"/>
    <cellStyle name="Neutral 23 7" xfId="3962"/>
    <cellStyle name="Neutral 23 8" xfId="3963"/>
    <cellStyle name="Neutral 23 9" xfId="3964"/>
    <cellStyle name="Neutral 24" xfId="1273"/>
    <cellStyle name="Neutral 24 10" xfId="3965"/>
    <cellStyle name="Neutral 24 11" xfId="3966"/>
    <cellStyle name="Neutral 24 12" xfId="3967"/>
    <cellStyle name="Neutral 24 13" xfId="3968"/>
    <cellStyle name="Neutral 24 14" xfId="3969"/>
    <cellStyle name="Neutral 24 2" xfId="3970"/>
    <cellStyle name="Neutral 24 3" xfId="3971"/>
    <cellStyle name="Neutral 24 4" xfId="3972"/>
    <cellStyle name="Neutral 24 5" xfId="3973"/>
    <cellStyle name="Neutral 24 6" xfId="3974"/>
    <cellStyle name="Neutral 24 7" xfId="3975"/>
    <cellStyle name="Neutral 24 8" xfId="3976"/>
    <cellStyle name="Neutral 24 9" xfId="3977"/>
    <cellStyle name="Neutral 25" xfId="1274"/>
    <cellStyle name="Neutral 26" xfId="1275"/>
    <cellStyle name="Neutral 27" xfId="1276"/>
    <cellStyle name="Neutral 28" xfId="1277"/>
    <cellStyle name="Neutral 29" xfId="1278"/>
    <cellStyle name="Neutral 3" xfId="1279"/>
    <cellStyle name="Neutral 30" xfId="1280"/>
    <cellStyle name="Neutral 31" xfId="3978"/>
    <cellStyle name="Neutral 32" xfId="3979"/>
    <cellStyle name="Neutral 33" xfId="3980"/>
    <cellStyle name="Neutral 4" xfId="1281"/>
    <cellStyle name="Neutral 5" xfId="1282"/>
    <cellStyle name="Neutral 6" xfId="1283"/>
    <cellStyle name="Neutral 7" xfId="1284"/>
    <cellStyle name="Neutral 8" xfId="1285"/>
    <cellStyle name="Neutral 9" xfId="1286"/>
    <cellStyle name="Normal" xfId="0" builtinId="0"/>
    <cellStyle name="Normal 10" xfId="2"/>
    <cellStyle name="Normal 10 2" xfId="1287"/>
    <cellStyle name="Normal 11" xfId="1288"/>
    <cellStyle name="Normal 12" xfId="1289"/>
    <cellStyle name="Normal 13" xfId="1290"/>
    <cellStyle name="Normal 14" xfId="1291"/>
    <cellStyle name="Normal 15" xfId="1292"/>
    <cellStyle name="Normal 16" xfId="1293"/>
    <cellStyle name="Normal 17" xfId="1294"/>
    <cellStyle name="Normal 18" xfId="1295"/>
    <cellStyle name="Normal 19" xfId="1296"/>
    <cellStyle name="Normal 2" xfId="1297"/>
    <cellStyle name="Normal 2 12" xfId="1298"/>
    <cellStyle name="Normal 2 2" xfId="1500"/>
    <cellStyle name="Normal 2 2 2" xfId="2931"/>
    <cellStyle name="Normal 2 2 3" xfId="2930"/>
    <cellStyle name="Normal 2_ICS Monthly Food Services 2011-2012" xfId="2924"/>
    <cellStyle name="Normal 20" xfId="1299"/>
    <cellStyle name="Normal 21" xfId="1300"/>
    <cellStyle name="Normal 22" xfId="1301"/>
    <cellStyle name="Normal 23" xfId="1302"/>
    <cellStyle name="Normal 23 10" xfId="3981"/>
    <cellStyle name="Normal 23 11" xfId="3982"/>
    <cellStyle name="Normal 23 12" xfId="3983"/>
    <cellStyle name="Normal 23 13" xfId="3984"/>
    <cellStyle name="Normal 23 14" xfId="3985"/>
    <cellStyle name="Normal 23 2" xfId="3986"/>
    <cellStyle name="Normal 23 3" xfId="3987"/>
    <cellStyle name="Normal 23 4" xfId="3988"/>
    <cellStyle name="Normal 23 5" xfId="3989"/>
    <cellStyle name="Normal 23 6" xfId="3990"/>
    <cellStyle name="Normal 23 7" xfId="3991"/>
    <cellStyle name="Normal 23 8" xfId="3992"/>
    <cellStyle name="Normal 23 9" xfId="3993"/>
    <cellStyle name="Normal 24" xfId="1303"/>
    <cellStyle name="Normal 24 10" xfId="3994"/>
    <cellStyle name="Normal 24 11" xfId="3995"/>
    <cellStyle name="Normal 24 12" xfId="3996"/>
    <cellStyle name="Normal 24 13" xfId="3997"/>
    <cellStyle name="Normal 24 14" xfId="3998"/>
    <cellStyle name="Normal 24 2" xfId="3999"/>
    <cellStyle name="Normal 24 3" xfId="4000"/>
    <cellStyle name="Normal 24 4" xfId="4001"/>
    <cellStyle name="Normal 24 5" xfId="4002"/>
    <cellStyle name="Normal 24 6" xfId="4003"/>
    <cellStyle name="Normal 24 7" xfId="4004"/>
    <cellStyle name="Normal 24 8" xfId="4005"/>
    <cellStyle name="Normal 24 9" xfId="4006"/>
    <cellStyle name="Normal 25" xfId="1304"/>
    <cellStyle name="Normal 26" xfId="1305"/>
    <cellStyle name="Normal 26 2" xfId="2926"/>
    <cellStyle name="Normal 27" xfId="1306"/>
    <cellStyle name="Normal 28" xfId="1307"/>
    <cellStyle name="Normal 29" xfId="1308"/>
    <cellStyle name="Normal 3" xfId="1309"/>
    <cellStyle name="Normal 3 6" xfId="2925"/>
    <cellStyle name="Normal 30" xfId="1310"/>
    <cellStyle name="Normal 31" xfId="1311"/>
    <cellStyle name="Normal 32" xfId="1312"/>
    <cellStyle name="Normal 33" xfId="1313"/>
    <cellStyle name="Normal 34" xfId="1314"/>
    <cellStyle name="Normal 35" xfId="1315"/>
    <cellStyle name="Normal 36" xfId="1316"/>
    <cellStyle name="Normal 37" xfId="1317"/>
    <cellStyle name="Normal 4" xfId="1318"/>
    <cellStyle name="Normal 5" xfId="1319"/>
    <cellStyle name="Normal 6" xfId="1320"/>
    <cellStyle name="Normal 6 2" xfId="1321"/>
    <cellStyle name="Normal 7" xfId="1322"/>
    <cellStyle name="Normal 7 2" xfId="1323"/>
    <cellStyle name="Normal 8" xfId="1324"/>
    <cellStyle name="Normal 9" xfId="1325"/>
    <cellStyle name="Note 10" xfId="1326"/>
    <cellStyle name="Note 10 10" xfId="4007"/>
    <cellStyle name="Note 10 11" xfId="4008"/>
    <cellStyle name="Note 10 12" xfId="4009"/>
    <cellStyle name="Note 10 13" xfId="4010"/>
    <cellStyle name="Note 10 14" xfId="4011"/>
    <cellStyle name="Note 10 15" xfId="4012"/>
    <cellStyle name="Note 10 16" xfId="4013"/>
    <cellStyle name="Note 10 17" xfId="4014"/>
    <cellStyle name="Note 10 18" xfId="4015"/>
    <cellStyle name="Note 10 19" xfId="4016"/>
    <cellStyle name="Note 10 2" xfId="4017"/>
    <cellStyle name="Note 10 20" xfId="4018"/>
    <cellStyle name="Note 10 3" xfId="4019"/>
    <cellStyle name="Note 10 4" xfId="4020"/>
    <cellStyle name="Note 10 5" xfId="4021"/>
    <cellStyle name="Note 10 6" xfId="4022"/>
    <cellStyle name="Note 10 7" xfId="4023"/>
    <cellStyle name="Note 10 8" xfId="4024"/>
    <cellStyle name="Note 10 9" xfId="4025"/>
    <cellStyle name="Note 11" xfId="1327"/>
    <cellStyle name="Note 11 10" xfId="4026"/>
    <cellStyle name="Note 11 11" xfId="4027"/>
    <cellStyle name="Note 11 12" xfId="4028"/>
    <cellStyle name="Note 11 13" xfId="4029"/>
    <cellStyle name="Note 11 14" xfId="4030"/>
    <cellStyle name="Note 11 15" xfId="4031"/>
    <cellStyle name="Note 11 16" xfId="4032"/>
    <cellStyle name="Note 11 17" xfId="4033"/>
    <cellStyle name="Note 11 18" xfId="4034"/>
    <cellStyle name="Note 11 19" xfId="4035"/>
    <cellStyle name="Note 11 2" xfId="4036"/>
    <cellStyle name="Note 11 20" xfId="4037"/>
    <cellStyle name="Note 11 3" xfId="4038"/>
    <cellStyle name="Note 11 4" xfId="4039"/>
    <cellStyle name="Note 11 5" xfId="4040"/>
    <cellStyle name="Note 11 6" xfId="4041"/>
    <cellStyle name="Note 11 7" xfId="4042"/>
    <cellStyle name="Note 11 8" xfId="4043"/>
    <cellStyle name="Note 11 9" xfId="4044"/>
    <cellStyle name="Note 12" xfId="1328"/>
    <cellStyle name="Note 12 10" xfId="4045"/>
    <cellStyle name="Note 12 11" xfId="4046"/>
    <cellStyle name="Note 12 12" xfId="4047"/>
    <cellStyle name="Note 12 13" xfId="4048"/>
    <cellStyle name="Note 12 14" xfId="4049"/>
    <cellStyle name="Note 12 15" xfId="4050"/>
    <cellStyle name="Note 12 16" xfId="4051"/>
    <cellStyle name="Note 12 17" xfId="4052"/>
    <cellStyle name="Note 12 18" xfId="4053"/>
    <cellStyle name="Note 12 19" xfId="4054"/>
    <cellStyle name="Note 12 2" xfId="4055"/>
    <cellStyle name="Note 12 20" xfId="4056"/>
    <cellStyle name="Note 12 3" xfId="4057"/>
    <cellStyle name="Note 12 4" xfId="4058"/>
    <cellStyle name="Note 12 5" xfId="4059"/>
    <cellStyle name="Note 12 6" xfId="4060"/>
    <cellStyle name="Note 12 7" xfId="4061"/>
    <cellStyle name="Note 12 8" xfId="4062"/>
    <cellStyle name="Note 12 9" xfId="4063"/>
    <cellStyle name="Note 13" xfId="1329"/>
    <cellStyle name="Note 13 10" xfId="4064"/>
    <cellStyle name="Note 13 11" xfId="4065"/>
    <cellStyle name="Note 13 12" xfId="4066"/>
    <cellStyle name="Note 13 13" xfId="4067"/>
    <cellStyle name="Note 13 14" xfId="4068"/>
    <cellStyle name="Note 13 15" xfId="4069"/>
    <cellStyle name="Note 13 16" xfId="4070"/>
    <cellStyle name="Note 13 17" xfId="4071"/>
    <cellStyle name="Note 13 18" xfId="4072"/>
    <cellStyle name="Note 13 19" xfId="4073"/>
    <cellStyle name="Note 13 2" xfId="4074"/>
    <cellStyle name="Note 13 20" xfId="4075"/>
    <cellStyle name="Note 13 3" xfId="4076"/>
    <cellStyle name="Note 13 4" xfId="4077"/>
    <cellStyle name="Note 13 5" xfId="4078"/>
    <cellStyle name="Note 13 6" xfId="4079"/>
    <cellStyle name="Note 13 7" xfId="4080"/>
    <cellStyle name="Note 13 8" xfId="4081"/>
    <cellStyle name="Note 13 9" xfId="4082"/>
    <cellStyle name="Note 14" xfId="1330"/>
    <cellStyle name="Note 14 10" xfId="4083"/>
    <cellStyle name="Note 14 11" xfId="4084"/>
    <cellStyle name="Note 14 12" xfId="4085"/>
    <cellStyle name="Note 14 13" xfId="4086"/>
    <cellStyle name="Note 14 14" xfId="4087"/>
    <cellStyle name="Note 14 15" xfId="4088"/>
    <cellStyle name="Note 14 16" xfId="4089"/>
    <cellStyle name="Note 14 17" xfId="4090"/>
    <cellStyle name="Note 14 18" xfId="4091"/>
    <cellStyle name="Note 14 19" xfId="4092"/>
    <cellStyle name="Note 14 2" xfId="4093"/>
    <cellStyle name="Note 14 20" xfId="4094"/>
    <cellStyle name="Note 14 3" xfId="4095"/>
    <cellStyle name="Note 14 4" xfId="4096"/>
    <cellStyle name="Note 14 5" xfId="4097"/>
    <cellStyle name="Note 14 6" xfId="4098"/>
    <cellStyle name="Note 14 7" xfId="4099"/>
    <cellStyle name="Note 14 8" xfId="4100"/>
    <cellStyle name="Note 14 9" xfId="4101"/>
    <cellStyle name="Note 15" xfId="1331"/>
    <cellStyle name="Note 15 10" xfId="4102"/>
    <cellStyle name="Note 15 11" xfId="4103"/>
    <cellStyle name="Note 15 12" xfId="4104"/>
    <cellStyle name="Note 15 13" xfId="4105"/>
    <cellStyle name="Note 15 14" xfId="4106"/>
    <cellStyle name="Note 15 15" xfId="4107"/>
    <cellStyle name="Note 15 16" xfId="4108"/>
    <cellStyle name="Note 15 17" xfId="4109"/>
    <cellStyle name="Note 15 18" xfId="4110"/>
    <cellStyle name="Note 15 19" xfId="4111"/>
    <cellStyle name="Note 15 2" xfId="4112"/>
    <cellStyle name="Note 15 20" xfId="4113"/>
    <cellStyle name="Note 15 3" xfId="4114"/>
    <cellStyle name="Note 15 4" xfId="4115"/>
    <cellStyle name="Note 15 5" xfId="4116"/>
    <cellStyle name="Note 15 6" xfId="4117"/>
    <cellStyle name="Note 15 7" xfId="4118"/>
    <cellStyle name="Note 15 8" xfId="4119"/>
    <cellStyle name="Note 15 9" xfId="4120"/>
    <cellStyle name="Note 16" xfId="1332"/>
    <cellStyle name="Note 16 10" xfId="4121"/>
    <cellStyle name="Note 16 11" xfId="4122"/>
    <cellStyle name="Note 16 12" xfId="4123"/>
    <cellStyle name="Note 16 13" xfId="4124"/>
    <cellStyle name="Note 16 14" xfId="4125"/>
    <cellStyle name="Note 16 15" xfId="4126"/>
    <cellStyle name="Note 16 16" xfId="4127"/>
    <cellStyle name="Note 16 17" xfId="4128"/>
    <cellStyle name="Note 16 18" xfId="4129"/>
    <cellStyle name="Note 16 19" xfId="4130"/>
    <cellStyle name="Note 16 2" xfId="4131"/>
    <cellStyle name="Note 16 20" xfId="4132"/>
    <cellStyle name="Note 16 3" xfId="4133"/>
    <cellStyle name="Note 16 4" xfId="4134"/>
    <cellStyle name="Note 16 5" xfId="4135"/>
    <cellStyle name="Note 16 6" xfId="4136"/>
    <cellStyle name="Note 16 7" xfId="4137"/>
    <cellStyle name="Note 16 8" xfId="4138"/>
    <cellStyle name="Note 16 9" xfId="4139"/>
    <cellStyle name="Note 17" xfId="1333"/>
    <cellStyle name="Note 17 10" xfId="4140"/>
    <cellStyle name="Note 17 11" xfId="4141"/>
    <cellStyle name="Note 17 12" xfId="4142"/>
    <cellStyle name="Note 17 13" xfId="4143"/>
    <cellStyle name="Note 17 14" xfId="4144"/>
    <cellStyle name="Note 17 15" xfId="4145"/>
    <cellStyle name="Note 17 16" xfId="4146"/>
    <cellStyle name="Note 17 17" xfId="4147"/>
    <cellStyle name="Note 17 18" xfId="4148"/>
    <cellStyle name="Note 17 19" xfId="4149"/>
    <cellStyle name="Note 17 2" xfId="4150"/>
    <cellStyle name="Note 17 20" xfId="4151"/>
    <cellStyle name="Note 17 3" xfId="4152"/>
    <cellStyle name="Note 17 4" xfId="4153"/>
    <cellStyle name="Note 17 5" xfId="4154"/>
    <cellStyle name="Note 17 6" xfId="4155"/>
    <cellStyle name="Note 17 7" xfId="4156"/>
    <cellStyle name="Note 17 8" xfId="4157"/>
    <cellStyle name="Note 17 9" xfId="4158"/>
    <cellStyle name="Note 18" xfId="1334"/>
    <cellStyle name="Note 18 10" xfId="4159"/>
    <cellStyle name="Note 18 11" xfId="4160"/>
    <cellStyle name="Note 18 12" xfId="4161"/>
    <cellStyle name="Note 18 13" xfId="4162"/>
    <cellStyle name="Note 18 14" xfId="4163"/>
    <cellStyle name="Note 18 15" xfId="4164"/>
    <cellStyle name="Note 18 16" xfId="4165"/>
    <cellStyle name="Note 18 17" xfId="4166"/>
    <cellStyle name="Note 18 18" xfId="4167"/>
    <cellStyle name="Note 18 19" xfId="4168"/>
    <cellStyle name="Note 18 2" xfId="4169"/>
    <cellStyle name="Note 18 20" xfId="4170"/>
    <cellStyle name="Note 18 3" xfId="4171"/>
    <cellStyle name="Note 18 4" xfId="4172"/>
    <cellStyle name="Note 18 5" xfId="4173"/>
    <cellStyle name="Note 18 6" xfId="4174"/>
    <cellStyle name="Note 18 7" xfId="4175"/>
    <cellStyle name="Note 18 8" xfId="4176"/>
    <cellStyle name="Note 18 9" xfId="4177"/>
    <cellStyle name="Note 19" xfId="1335"/>
    <cellStyle name="Note 19 10" xfId="4178"/>
    <cellStyle name="Note 19 11" xfId="4179"/>
    <cellStyle name="Note 19 12" xfId="4180"/>
    <cellStyle name="Note 19 13" xfId="4181"/>
    <cellStyle name="Note 19 14" xfId="4182"/>
    <cellStyle name="Note 19 15" xfId="4183"/>
    <cellStyle name="Note 19 16" xfId="4184"/>
    <cellStyle name="Note 19 17" xfId="4185"/>
    <cellStyle name="Note 19 18" xfId="4186"/>
    <cellStyle name="Note 19 19" xfId="4187"/>
    <cellStyle name="Note 19 2" xfId="4188"/>
    <cellStyle name="Note 19 20" xfId="4189"/>
    <cellStyle name="Note 19 3" xfId="4190"/>
    <cellStyle name="Note 19 4" xfId="4191"/>
    <cellStyle name="Note 19 5" xfId="4192"/>
    <cellStyle name="Note 19 6" xfId="4193"/>
    <cellStyle name="Note 19 7" xfId="4194"/>
    <cellStyle name="Note 19 8" xfId="4195"/>
    <cellStyle name="Note 19 9" xfId="4196"/>
    <cellStyle name="Note 2" xfId="1336"/>
    <cellStyle name="Note 2 2" xfId="4197"/>
    <cellStyle name="Note 2 3" xfId="4198"/>
    <cellStyle name="Note 2 4" xfId="4199"/>
    <cellStyle name="Note 20" xfId="1337"/>
    <cellStyle name="Note 20 10" xfId="4200"/>
    <cellStyle name="Note 20 11" xfId="4201"/>
    <cellStyle name="Note 20 12" xfId="4202"/>
    <cellStyle name="Note 20 13" xfId="4203"/>
    <cellStyle name="Note 20 14" xfId="4204"/>
    <cellStyle name="Note 20 15" xfId="4205"/>
    <cellStyle name="Note 20 16" xfId="4206"/>
    <cellStyle name="Note 20 17" xfId="4207"/>
    <cellStyle name="Note 20 18" xfId="4208"/>
    <cellStyle name="Note 20 19" xfId="4209"/>
    <cellStyle name="Note 20 2" xfId="4210"/>
    <cellStyle name="Note 20 20" xfId="4211"/>
    <cellStyle name="Note 20 3" xfId="4212"/>
    <cellStyle name="Note 20 4" xfId="4213"/>
    <cellStyle name="Note 20 5" xfId="4214"/>
    <cellStyle name="Note 20 6" xfId="4215"/>
    <cellStyle name="Note 20 7" xfId="4216"/>
    <cellStyle name="Note 20 8" xfId="4217"/>
    <cellStyle name="Note 20 9" xfId="4218"/>
    <cellStyle name="Note 21" xfId="1338"/>
    <cellStyle name="Note 21 10" xfId="4219"/>
    <cellStyle name="Note 21 11" xfId="4220"/>
    <cellStyle name="Note 21 12" xfId="4221"/>
    <cellStyle name="Note 21 13" xfId="4222"/>
    <cellStyle name="Note 21 14" xfId="4223"/>
    <cellStyle name="Note 21 15" xfId="4224"/>
    <cellStyle name="Note 21 16" xfId="4225"/>
    <cellStyle name="Note 21 17" xfId="4226"/>
    <cellStyle name="Note 21 18" xfId="4227"/>
    <cellStyle name="Note 21 19" xfId="4228"/>
    <cellStyle name="Note 21 2" xfId="4229"/>
    <cellStyle name="Note 21 20" xfId="4230"/>
    <cellStyle name="Note 21 3" xfId="4231"/>
    <cellStyle name="Note 21 4" xfId="4232"/>
    <cellStyle name="Note 21 5" xfId="4233"/>
    <cellStyle name="Note 21 6" xfId="4234"/>
    <cellStyle name="Note 21 7" xfId="4235"/>
    <cellStyle name="Note 21 8" xfId="4236"/>
    <cellStyle name="Note 21 9" xfId="4237"/>
    <cellStyle name="Note 22" xfId="1339"/>
    <cellStyle name="Note 22 10" xfId="4238"/>
    <cellStyle name="Note 22 11" xfId="4239"/>
    <cellStyle name="Note 22 12" xfId="4240"/>
    <cellStyle name="Note 22 13" xfId="4241"/>
    <cellStyle name="Note 22 14" xfId="4242"/>
    <cellStyle name="Note 22 15" xfId="4243"/>
    <cellStyle name="Note 22 16" xfId="4244"/>
    <cellStyle name="Note 22 17" xfId="4245"/>
    <cellStyle name="Note 22 18" xfId="4246"/>
    <cellStyle name="Note 22 19" xfId="4247"/>
    <cellStyle name="Note 22 2" xfId="4248"/>
    <cellStyle name="Note 22 20" xfId="4249"/>
    <cellStyle name="Note 22 3" xfId="4250"/>
    <cellStyle name="Note 22 4" xfId="4251"/>
    <cellStyle name="Note 22 5" xfId="4252"/>
    <cellStyle name="Note 22 6" xfId="4253"/>
    <cellStyle name="Note 22 7" xfId="4254"/>
    <cellStyle name="Note 22 8" xfId="4255"/>
    <cellStyle name="Note 22 9" xfId="4256"/>
    <cellStyle name="Note 23" xfId="1340"/>
    <cellStyle name="Note 24" xfId="1341"/>
    <cellStyle name="Note 24 10" xfId="4257"/>
    <cellStyle name="Note 24 11" xfId="4258"/>
    <cellStyle name="Note 24 12" xfId="4259"/>
    <cellStyle name="Note 24 13" xfId="4260"/>
    <cellStyle name="Note 24 14" xfId="4261"/>
    <cellStyle name="Note 24 2" xfId="4262"/>
    <cellStyle name="Note 24 3" xfId="4263"/>
    <cellStyle name="Note 24 4" xfId="4264"/>
    <cellStyle name="Note 24 5" xfId="4265"/>
    <cellStyle name="Note 24 6" xfId="4266"/>
    <cellStyle name="Note 24 7" xfId="4267"/>
    <cellStyle name="Note 24 8" xfId="4268"/>
    <cellStyle name="Note 24 9" xfId="4269"/>
    <cellStyle name="Note 25" xfId="1342"/>
    <cellStyle name="Note 25 10" xfId="4270"/>
    <cellStyle name="Note 25 11" xfId="4271"/>
    <cellStyle name="Note 25 12" xfId="4272"/>
    <cellStyle name="Note 25 13" xfId="4273"/>
    <cellStyle name="Note 25 14" xfId="4274"/>
    <cellStyle name="Note 25 2" xfId="4275"/>
    <cellStyle name="Note 25 3" xfId="4276"/>
    <cellStyle name="Note 25 4" xfId="4277"/>
    <cellStyle name="Note 25 5" xfId="4278"/>
    <cellStyle name="Note 25 6" xfId="4279"/>
    <cellStyle name="Note 25 7" xfId="4280"/>
    <cellStyle name="Note 25 8" xfId="4281"/>
    <cellStyle name="Note 25 9" xfId="4282"/>
    <cellStyle name="Note 26" xfId="1343"/>
    <cellStyle name="Note 27" xfId="1344"/>
    <cellStyle name="Note 28" xfId="1345"/>
    <cellStyle name="Note 29" xfId="1346"/>
    <cellStyle name="Note 3" xfId="1347"/>
    <cellStyle name="Note 30" xfId="1348"/>
    <cellStyle name="Note 31" xfId="4283"/>
    <cellStyle name="Note 32" xfId="4284"/>
    <cellStyle name="Note 33" xfId="4285"/>
    <cellStyle name="Note 34" xfId="4286"/>
    <cellStyle name="Note 4" xfId="1349"/>
    <cellStyle name="Note 5" xfId="1350"/>
    <cellStyle name="Note 6" xfId="1351"/>
    <cellStyle name="Note 7" xfId="1352"/>
    <cellStyle name="Note 7 10" xfId="4287"/>
    <cellStyle name="Note 7 11" xfId="4288"/>
    <cellStyle name="Note 7 12" xfId="4289"/>
    <cellStyle name="Note 7 13" xfId="4290"/>
    <cellStyle name="Note 7 14" xfId="4291"/>
    <cellStyle name="Note 7 15" xfId="4292"/>
    <cellStyle name="Note 7 16" xfId="4293"/>
    <cellStyle name="Note 7 17" xfId="4294"/>
    <cellStyle name="Note 7 18" xfId="4295"/>
    <cellStyle name="Note 7 19" xfId="4296"/>
    <cellStyle name="Note 7 2" xfId="4297"/>
    <cellStyle name="Note 7 20" xfId="4298"/>
    <cellStyle name="Note 7 3" xfId="4299"/>
    <cellStyle name="Note 7 4" xfId="4300"/>
    <cellStyle name="Note 7 5" xfId="4301"/>
    <cellStyle name="Note 7 6" xfId="4302"/>
    <cellStyle name="Note 7 7" xfId="4303"/>
    <cellStyle name="Note 7 8" xfId="4304"/>
    <cellStyle name="Note 7 9" xfId="4305"/>
    <cellStyle name="Note 8" xfId="1353"/>
    <cellStyle name="Note 8 10" xfId="4306"/>
    <cellStyle name="Note 8 11" xfId="4307"/>
    <cellStyle name="Note 8 12" xfId="4308"/>
    <cellStyle name="Note 8 13" xfId="4309"/>
    <cellStyle name="Note 8 14" xfId="4310"/>
    <cellStyle name="Note 8 15" xfId="4311"/>
    <cellStyle name="Note 8 16" xfId="4312"/>
    <cellStyle name="Note 8 17" xfId="4313"/>
    <cellStyle name="Note 8 18" xfId="4314"/>
    <cellStyle name="Note 8 19" xfId="4315"/>
    <cellStyle name="Note 8 2" xfId="4316"/>
    <cellStyle name="Note 8 20" xfId="4317"/>
    <cellStyle name="Note 8 3" xfId="4318"/>
    <cellStyle name="Note 8 4" xfId="4319"/>
    <cellStyle name="Note 8 5" xfId="4320"/>
    <cellStyle name="Note 8 6" xfId="4321"/>
    <cellStyle name="Note 8 7" xfId="4322"/>
    <cellStyle name="Note 8 8" xfId="4323"/>
    <cellStyle name="Note 8 9" xfId="4324"/>
    <cellStyle name="Note 9" xfId="1354"/>
    <cellStyle name="Note 9 10" xfId="4325"/>
    <cellStyle name="Note 9 11" xfId="4326"/>
    <cellStyle name="Note 9 12" xfId="4327"/>
    <cellStyle name="Note 9 13" xfId="4328"/>
    <cellStyle name="Note 9 14" xfId="4329"/>
    <cellStyle name="Note 9 15" xfId="4330"/>
    <cellStyle name="Note 9 16" xfId="4331"/>
    <cellStyle name="Note 9 17" xfId="4332"/>
    <cellStyle name="Note 9 18" xfId="4333"/>
    <cellStyle name="Note 9 19" xfId="4334"/>
    <cellStyle name="Note 9 2" xfId="4335"/>
    <cellStyle name="Note 9 20" xfId="4336"/>
    <cellStyle name="Note 9 3" xfId="4337"/>
    <cellStyle name="Note 9 4" xfId="4338"/>
    <cellStyle name="Note 9 5" xfId="4339"/>
    <cellStyle name="Note 9 6" xfId="4340"/>
    <cellStyle name="Note 9 7" xfId="4341"/>
    <cellStyle name="Note 9 8" xfId="4342"/>
    <cellStyle name="Note 9 9" xfId="4343"/>
    <cellStyle name="Output 10" xfId="1355"/>
    <cellStyle name="Output 11" xfId="1356"/>
    <cellStyle name="Output 12" xfId="1357"/>
    <cellStyle name="Output 13" xfId="1358"/>
    <cellStyle name="Output 14" xfId="1359"/>
    <cellStyle name="Output 15" xfId="1360"/>
    <cellStyle name="Output 16" xfId="1361"/>
    <cellStyle name="Output 17" xfId="1362"/>
    <cellStyle name="Output 18" xfId="1363"/>
    <cellStyle name="Output 19" xfId="1364"/>
    <cellStyle name="Output 2" xfId="1365"/>
    <cellStyle name="Output 20" xfId="1366"/>
    <cellStyle name="Output 21" xfId="1367"/>
    <cellStyle name="Output 22" xfId="1368"/>
    <cellStyle name="Output 23" xfId="1369"/>
    <cellStyle name="Output 23 10" xfId="4344"/>
    <cellStyle name="Output 23 11" xfId="4345"/>
    <cellStyle name="Output 23 12" xfId="4346"/>
    <cellStyle name="Output 23 13" xfId="4347"/>
    <cellStyle name="Output 23 14" xfId="4348"/>
    <cellStyle name="Output 23 2" xfId="4349"/>
    <cellStyle name="Output 23 3" xfId="4350"/>
    <cellStyle name="Output 23 4" xfId="4351"/>
    <cellStyle name="Output 23 5" xfId="4352"/>
    <cellStyle name="Output 23 6" xfId="4353"/>
    <cellStyle name="Output 23 7" xfId="4354"/>
    <cellStyle name="Output 23 8" xfId="4355"/>
    <cellStyle name="Output 23 9" xfId="4356"/>
    <cellStyle name="Output 24" xfId="1370"/>
    <cellStyle name="Output 24 10" xfId="4357"/>
    <cellStyle name="Output 24 11" xfId="4358"/>
    <cellStyle name="Output 24 12" xfId="4359"/>
    <cellStyle name="Output 24 13" xfId="4360"/>
    <cellStyle name="Output 24 14" xfId="4361"/>
    <cellStyle name="Output 24 2" xfId="4362"/>
    <cellStyle name="Output 24 3" xfId="4363"/>
    <cellStyle name="Output 24 4" xfId="4364"/>
    <cellStyle name="Output 24 5" xfId="4365"/>
    <cellStyle name="Output 24 6" xfId="4366"/>
    <cellStyle name="Output 24 7" xfId="4367"/>
    <cellStyle name="Output 24 8" xfId="4368"/>
    <cellStyle name="Output 24 9" xfId="4369"/>
    <cellStyle name="Output 25" xfId="1371"/>
    <cellStyle name="Output 26" xfId="1372"/>
    <cellStyle name="Output 27" xfId="1373"/>
    <cellStyle name="Output 28" xfId="1374"/>
    <cellStyle name="Output 29" xfId="1375"/>
    <cellStyle name="Output 3" xfId="1376"/>
    <cellStyle name="Output 30" xfId="1377"/>
    <cellStyle name="Output 31" xfId="4370"/>
    <cellStyle name="Output 32" xfId="4371"/>
    <cellStyle name="Output 33" xfId="4372"/>
    <cellStyle name="Output 4" xfId="1378"/>
    <cellStyle name="Output 5" xfId="1379"/>
    <cellStyle name="Output 6" xfId="1380"/>
    <cellStyle name="Output 7" xfId="1381"/>
    <cellStyle name="Output 8" xfId="1382"/>
    <cellStyle name="Output 9" xfId="1383"/>
    <cellStyle name="Percent 10" xfId="1384"/>
    <cellStyle name="Percent 10 10" xfId="4373"/>
    <cellStyle name="Percent 10 11" xfId="4374"/>
    <cellStyle name="Percent 10 12" xfId="4375"/>
    <cellStyle name="Percent 10 13" xfId="4376"/>
    <cellStyle name="Percent 10 14" xfId="4377"/>
    <cellStyle name="Percent 10 15" xfId="4378"/>
    <cellStyle name="Percent 10 16" xfId="4379"/>
    <cellStyle name="Percent 10 17" xfId="4380"/>
    <cellStyle name="Percent 10 18" xfId="4381"/>
    <cellStyle name="Percent 10 19" xfId="4382"/>
    <cellStyle name="Percent 10 2" xfId="4383"/>
    <cellStyle name="Percent 10 20" xfId="4384"/>
    <cellStyle name="Percent 10 3" xfId="4385"/>
    <cellStyle name="Percent 10 4" xfId="4386"/>
    <cellStyle name="Percent 10 5" xfId="4387"/>
    <cellStyle name="Percent 10 6" xfId="4388"/>
    <cellStyle name="Percent 10 7" xfId="4389"/>
    <cellStyle name="Percent 10 8" xfId="4390"/>
    <cellStyle name="Percent 10 9" xfId="4391"/>
    <cellStyle name="Percent 11" xfId="1385"/>
    <cellStyle name="Percent 11 10" xfId="4392"/>
    <cellStyle name="Percent 11 11" xfId="4393"/>
    <cellStyle name="Percent 11 12" xfId="4394"/>
    <cellStyle name="Percent 11 13" xfId="4395"/>
    <cellStyle name="Percent 11 14" xfId="4396"/>
    <cellStyle name="Percent 11 15" xfId="4397"/>
    <cellStyle name="Percent 11 16" xfId="4398"/>
    <cellStyle name="Percent 11 17" xfId="4399"/>
    <cellStyle name="Percent 11 18" xfId="4400"/>
    <cellStyle name="Percent 11 19" xfId="4401"/>
    <cellStyle name="Percent 11 2" xfId="4402"/>
    <cellStyle name="Percent 11 20" xfId="4403"/>
    <cellStyle name="Percent 11 3" xfId="4404"/>
    <cellStyle name="Percent 11 4" xfId="4405"/>
    <cellStyle name="Percent 11 5" xfId="4406"/>
    <cellStyle name="Percent 11 6" xfId="4407"/>
    <cellStyle name="Percent 11 7" xfId="4408"/>
    <cellStyle name="Percent 11 8" xfId="4409"/>
    <cellStyle name="Percent 11 9" xfId="4410"/>
    <cellStyle name="Percent 12" xfId="1386"/>
    <cellStyle name="Percent 12 10" xfId="4411"/>
    <cellStyle name="Percent 12 11" xfId="4412"/>
    <cellStyle name="Percent 12 12" xfId="4413"/>
    <cellStyle name="Percent 12 13" xfId="4414"/>
    <cellStyle name="Percent 12 14" xfId="4415"/>
    <cellStyle name="Percent 12 15" xfId="4416"/>
    <cellStyle name="Percent 12 16" xfId="4417"/>
    <cellStyle name="Percent 12 17" xfId="4418"/>
    <cellStyle name="Percent 12 18" xfId="4419"/>
    <cellStyle name="Percent 12 19" xfId="4420"/>
    <cellStyle name="Percent 12 2" xfId="4421"/>
    <cellStyle name="Percent 12 20" xfId="4422"/>
    <cellStyle name="Percent 12 3" xfId="4423"/>
    <cellStyle name="Percent 12 4" xfId="4424"/>
    <cellStyle name="Percent 12 5" xfId="4425"/>
    <cellStyle name="Percent 12 6" xfId="4426"/>
    <cellStyle name="Percent 12 7" xfId="4427"/>
    <cellStyle name="Percent 12 8" xfId="4428"/>
    <cellStyle name="Percent 12 9" xfId="4429"/>
    <cellStyle name="Percent 13" xfId="1387"/>
    <cellStyle name="Percent 13 10" xfId="4430"/>
    <cellStyle name="Percent 13 11" xfId="4431"/>
    <cellStyle name="Percent 13 12" xfId="4432"/>
    <cellStyle name="Percent 13 13" xfId="4433"/>
    <cellStyle name="Percent 13 14" xfId="4434"/>
    <cellStyle name="Percent 13 15" xfId="4435"/>
    <cellStyle name="Percent 13 16" xfId="4436"/>
    <cellStyle name="Percent 13 17" xfId="4437"/>
    <cellStyle name="Percent 13 18" xfId="4438"/>
    <cellStyle name="Percent 13 19" xfId="4439"/>
    <cellStyle name="Percent 13 2" xfId="4440"/>
    <cellStyle name="Percent 13 20" xfId="4441"/>
    <cellStyle name="Percent 13 3" xfId="4442"/>
    <cellStyle name="Percent 13 4" xfId="4443"/>
    <cellStyle name="Percent 13 5" xfId="4444"/>
    <cellStyle name="Percent 13 6" xfId="4445"/>
    <cellStyle name="Percent 13 7" xfId="4446"/>
    <cellStyle name="Percent 13 8" xfId="4447"/>
    <cellStyle name="Percent 13 9" xfId="4448"/>
    <cellStyle name="Percent 14" xfId="1388"/>
    <cellStyle name="Percent 14 10" xfId="4449"/>
    <cellStyle name="Percent 14 11" xfId="4450"/>
    <cellStyle name="Percent 14 12" xfId="4451"/>
    <cellStyle name="Percent 14 13" xfId="4452"/>
    <cellStyle name="Percent 14 14" xfId="4453"/>
    <cellStyle name="Percent 14 15" xfId="4454"/>
    <cellStyle name="Percent 14 16" xfId="4455"/>
    <cellStyle name="Percent 14 17" xfId="4456"/>
    <cellStyle name="Percent 14 18" xfId="4457"/>
    <cellStyle name="Percent 14 19" xfId="4458"/>
    <cellStyle name="Percent 14 2" xfId="4459"/>
    <cellStyle name="Percent 14 20" xfId="4460"/>
    <cellStyle name="Percent 14 3" xfId="4461"/>
    <cellStyle name="Percent 14 4" xfId="4462"/>
    <cellStyle name="Percent 14 5" xfId="4463"/>
    <cellStyle name="Percent 14 6" xfId="4464"/>
    <cellStyle name="Percent 14 7" xfId="4465"/>
    <cellStyle name="Percent 14 8" xfId="4466"/>
    <cellStyle name="Percent 14 9" xfId="4467"/>
    <cellStyle name="Percent 15" xfId="1389"/>
    <cellStyle name="Percent 15 10" xfId="4468"/>
    <cellStyle name="Percent 15 11" xfId="4469"/>
    <cellStyle name="Percent 15 12" xfId="4470"/>
    <cellStyle name="Percent 15 13" xfId="4471"/>
    <cellStyle name="Percent 15 14" xfId="4472"/>
    <cellStyle name="Percent 15 15" xfId="4473"/>
    <cellStyle name="Percent 15 16" xfId="4474"/>
    <cellStyle name="Percent 15 17" xfId="4475"/>
    <cellStyle name="Percent 15 18" xfId="4476"/>
    <cellStyle name="Percent 15 19" xfId="4477"/>
    <cellStyle name="Percent 15 2" xfId="4478"/>
    <cellStyle name="Percent 15 20" xfId="4479"/>
    <cellStyle name="Percent 15 3" xfId="4480"/>
    <cellStyle name="Percent 15 4" xfId="4481"/>
    <cellStyle name="Percent 15 5" xfId="4482"/>
    <cellStyle name="Percent 15 6" xfId="4483"/>
    <cellStyle name="Percent 15 7" xfId="4484"/>
    <cellStyle name="Percent 15 8" xfId="4485"/>
    <cellStyle name="Percent 15 9" xfId="4486"/>
    <cellStyle name="Percent 16" xfId="1390"/>
    <cellStyle name="Percent 16 10" xfId="4487"/>
    <cellStyle name="Percent 16 11" xfId="4488"/>
    <cellStyle name="Percent 16 12" xfId="4489"/>
    <cellStyle name="Percent 16 13" xfId="4490"/>
    <cellStyle name="Percent 16 14" xfId="4491"/>
    <cellStyle name="Percent 16 15" xfId="4492"/>
    <cellStyle name="Percent 16 16" xfId="4493"/>
    <cellStyle name="Percent 16 17" xfId="4494"/>
    <cellStyle name="Percent 16 18" xfId="4495"/>
    <cellStyle name="Percent 16 19" xfId="4496"/>
    <cellStyle name="Percent 16 2" xfId="4497"/>
    <cellStyle name="Percent 16 20" xfId="4498"/>
    <cellStyle name="Percent 16 3" xfId="4499"/>
    <cellStyle name="Percent 16 4" xfId="4500"/>
    <cellStyle name="Percent 16 5" xfId="4501"/>
    <cellStyle name="Percent 16 6" xfId="4502"/>
    <cellStyle name="Percent 16 7" xfId="4503"/>
    <cellStyle name="Percent 16 8" xfId="4504"/>
    <cellStyle name="Percent 16 9" xfId="4505"/>
    <cellStyle name="Percent 17" xfId="1391"/>
    <cellStyle name="Percent 17 10" xfId="4506"/>
    <cellStyle name="Percent 17 11" xfId="4507"/>
    <cellStyle name="Percent 17 12" xfId="4508"/>
    <cellStyle name="Percent 17 13" xfId="4509"/>
    <cellStyle name="Percent 17 14" xfId="4510"/>
    <cellStyle name="Percent 17 15" xfId="4511"/>
    <cellStyle name="Percent 17 16" xfId="4512"/>
    <cellStyle name="Percent 17 17" xfId="4513"/>
    <cellStyle name="Percent 17 18" xfId="4514"/>
    <cellStyle name="Percent 17 19" xfId="4515"/>
    <cellStyle name="Percent 17 2" xfId="4516"/>
    <cellStyle name="Percent 17 20" xfId="4517"/>
    <cellStyle name="Percent 17 3" xfId="4518"/>
    <cellStyle name="Percent 17 4" xfId="4519"/>
    <cellStyle name="Percent 17 5" xfId="4520"/>
    <cellStyle name="Percent 17 6" xfId="4521"/>
    <cellStyle name="Percent 17 7" xfId="4522"/>
    <cellStyle name="Percent 17 8" xfId="4523"/>
    <cellStyle name="Percent 17 9" xfId="4524"/>
    <cellStyle name="Percent 18" xfId="1392"/>
    <cellStyle name="Percent 18 10" xfId="4525"/>
    <cellStyle name="Percent 18 11" xfId="4526"/>
    <cellStyle name="Percent 18 12" xfId="4527"/>
    <cellStyle name="Percent 18 13" xfId="4528"/>
    <cellStyle name="Percent 18 14" xfId="4529"/>
    <cellStyle name="Percent 18 15" xfId="4530"/>
    <cellStyle name="Percent 18 16" xfId="4531"/>
    <cellStyle name="Percent 18 17" xfId="4532"/>
    <cellStyle name="Percent 18 18" xfId="4533"/>
    <cellStyle name="Percent 18 19" xfId="4534"/>
    <cellStyle name="Percent 18 2" xfId="4535"/>
    <cellStyle name="Percent 18 20" xfId="4536"/>
    <cellStyle name="Percent 18 3" xfId="4537"/>
    <cellStyle name="Percent 18 4" xfId="4538"/>
    <cellStyle name="Percent 18 5" xfId="4539"/>
    <cellStyle name="Percent 18 6" xfId="4540"/>
    <cellStyle name="Percent 18 7" xfId="4541"/>
    <cellStyle name="Percent 18 8" xfId="4542"/>
    <cellStyle name="Percent 18 9" xfId="4543"/>
    <cellStyle name="Percent 19" xfId="1393"/>
    <cellStyle name="Percent 19 10" xfId="4544"/>
    <cellStyle name="Percent 19 11" xfId="4545"/>
    <cellStyle name="Percent 19 12" xfId="4546"/>
    <cellStyle name="Percent 19 13" xfId="4547"/>
    <cellStyle name="Percent 19 14" xfId="4548"/>
    <cellStyle name="Percent 19 15" xfId="4549"/>
    <cellStyle name="Percent 19 16" xfId="4550"/>
    <cellStyle name="Percent 19 17" xfId="4551"/>
    <cellStyle name="Percent 19 18" xfId="4552"/>
    <cellStyle name="Percent 19 19" xfId="4553"/>
    <cellStyle name="Percent 19 2" xfId="4554"/>
    <cellStyle name="Percent 19 20" xfId="4555"/>
    <cellStyle name="Percent 19 3" xfId="4556"/>
    <cellStyle name="Percent 19 4" xfId="4557"/>
    <cellStyle name="Percent 19 5" xfId="4558"/>
    <cellStyle name="Percent 19 6" xfId="4559"/>
    <cellStyle name="Percent 19 7" xfId="4560"/>
    <cellStyle name="Percent 19 8" xfId="4561"/>
    <cellStyle name="Percent 19 9" xfId="4562"/>
    <cellStyle name="Percent 2" xfId="1394"/>
    <cellStyle name="Percent 2 2" xfId="4563"/>
    <cellStyle name="Percent 2 2 2" xfId="4564"/>
    <cellStyle name="Percent 2 3" xfId="4565"/>
    <cellStyle name="Percent 2 4" xfId="4566"/>
    <cellStyle name="Percent 20" xfId="1395"/>
    <cellStyle name="Percent 20 10" xfId="4567"/>
    <cellStyle name="Percent 20 11" xfId="4568"/>
    <cellStyle name="Percent 20 12" xfId="4569"/>
    <cellStyle name="Percent 20 13" xfId="4570"/>
    <cellStyle name="Percent 20 14" xfId="4571"/>
    <cellStyle name="Percent 20 15" xfId="4572"/>
    <cellStyle name="Percent 20 16" xfId="4573"/>
    <cellStyle name="Percent 20 17" xfId="4574"/>
    <cellStyle name="Percent 20 18" xfId="4575"/>
    <cellStyle name="Percent 20 19" xfId="4576"/>
    <cellStyle name="Percent 20 2" xfId="4577"/>
    <cellStyle name="Percent 20 20" xfId="4578"/>
    <cellStyle name="Percent 20 3" xfId="4579"/>
    <cellStyle name="Percent 20 4" xfId="4580"/>
    <cellStyle name="Percent 20 5" xfId="4581"/>
    <cellStyle name="Percent 20 6" xfId="4582"/>
    <cellStyle name="Percent 20 7" xfId="4583"/>
    <cellStyle name="Percent 20 8" xfId="4584"/>
    <cellStyle name="Percent 20 9" xfId="4585"/>
    <cellStyle name="Percent 21" xfId="1396"/>
    <cellStyle name="Percent 21 10" xfId="4586"/>
    <cellStyle name="Percent 21 11" xfId="4587"/>
    <cellStyle name="Percent 21 12" xfId="4588"/>
    <cellStyle name="Percent 21 13" xfId="4589"/>
    <cellStyle name="Percent 21 14" xfId="4590"/>
    <cellStyle name="Percent 21 15" xfId="4591"/>
    <cellStyle name="Percent 21 16" xfId="4592"/>
    <cellStyle name="Percent 21 17" xfId="4593"/>
    <cellStyle name="Percent 21 18" xfId="4594"/>
    <cellStyle name="Percent 21 19" xfId="4595"/>
    <cellStyle name="Percent 21 2" xfId="4596"/>
    <cellStyle name="Percent 21 20" xfId="4597"/>
    <cellStyle name="Percent 21 3" xfId="4598"/>
    <cellStyle name="Percent 21 4" xfId="4599"/>
    <cellStyle name="Percent 21 5" xfId="4600"/>
    <cellStyle name="Percent 21 6" xfId="4601"/>
    <cellStyle name="Percent 21 7" xfId="4602"/>
    <cellStyle name="Percent 21 8" xfId="4603"/>
    <cellStyle name="Percent 21 9" xfId="4604"/>
    <cellStyle name="Percent 22" xfId="1397"/>
    <cellStyle name="Percent 22 10" xfId="4605"/>
    <cellStyle name="Percent 22 11" xfId="4606"/>
    <cellStyle name="Percent 22 12" xfId="4607"/>
    <cellStyle name="Percent 22 13" xfId="4608"/>
    <cellStyle name="Percent 22 14" xfId="4609"/>
    <cellStyle name="Percent 22 15" xfId="4610"/>
    <cellStyle name="Percent 22 16" xfId="4611"/>
    <cellStyle name="Percent 22 17" xfId="4612"/>
    <cellStyle name="Percent 22 18" xfId="4613"/>
    <cellStyle name="Percent 22 19" xfId="4614"/>
    <cellStyle name="Percent 22 2" xfId="4615"/>
    <cellStyle name="Percent 22 20" xfId="4616"/>
    <cellStyle name="Percent 22 3" xfId="4617"/>
    <cellStyle name="Percent 22 4" xfId="4618"/>
    <cellStyle name="Percent 22 5" xfId="4619"/>
    <cellStyle name="Percent 22 6" xfId="4620"/>
    <cellStyle name="Percent 22 7" xfId="4621"/>
    <cellStyle name="Percent 22 8" xfId="4622"/>
    <cellStyle name="Percent 22 9" xfId="4623"/>
    <cellStyle name="Percent 23" xfId="1398"/>
    <cellStyle name="Percent 24" xfId="1399"/>
    <cellStyle name="Percent 24 10" xfId="4624"/>
    <cellStyle name="Percent 24 11" xfId="4625"/>
    <cellStyle name="Percent 24 12" xfId="4626"/>
    <cellStyle name="Percent 24 13" xfId="4627"/>
    <cellStyle name="Percent 24 14" xfId="4628"/>
    <cellStyle name="Percent 24 2" xfId="4629"/>
    <cellStyle name="Percent 24 3" xfId="4630"/>
    <cellStyle name="Percent 24 4" xfId="4631"/>
    <cellStyle name="Percent 24 5" xfId="4632"/>
    <cellStyle name="Percent 24 6" xfId="4633"/>
    <cellStyle name="Percent 24 7" xfId="4634"/>
    <cellStyle name="Percent 24 8" xfId="4635"/>
    <cellStyle name="Percent 24 9" xfId="4636"/>
    <cellStyle name="Percent 25" xfId="1400"/>
    <cellStyle name="Percent 25 10" xfId="4637"/>
    <cellStyle name="Percent 25 11" xfId="4638"/>
    <cellStyle name="Percent 25 12" xfId="4639"/>
    <cellStyle name="Percent 25 13" xfId="4640"/>
    <cellStyle name="Percent 25 14" xfId="4641"/>
    <cellStyle name="Percent 25 2" xfId="4642"/>
    <cellStyle name="Percent 25 3" xfId="4643"/>
    <cellStyle name="Percent 25 4" xfId="4644"/>
    <cellStyle name="Percent 25 5" xfId="4645"/>
    <cellStyle name="Percent 25 6" xfId="4646"/>
    <cellStyle name="Percent 25 7" xfId="4647"/>
    <cellStyle name="Percent 25 8" xfId="4648"/>
    <cellStyle name="Percent 25 9" xfId="4649"/>
    <cellStyle name="Percent 26" xfId="1401"/>
    <cellStyle name="Percent 27" xfId="1402"/>
    <cellStyle name="Percent 28" xfId="1403"/>
    <cellStyle name="Percent 29" xfId="1404"/>
    <cellStyle name="Percent 3" xfId="1405"/>
    <cellStyle name="Percent 30" xfId="4650"/>
    <cellStyle name="Percent 31" xfId="4651"/>
    <cellStyle name="Percent 32" xfId="4652"/>
    <cellStyle name="Percent 33" xfId="4653"/>
    <cellStyle name="Percent 34" xfId="4654"/>
    <cellStyle name="Percent 4" xfId="1406"/>
    <cellStyle name="Percent 5" xfId="1407"/>
    <cellStyle name="Percent 6" xfId="1408"/>
    <cellStyle name="Percent 7" xfId="1409"/>
    <cellStyle name="Percent 7 10" xfId="4655"/>
    <cellStyle name="Percent 7 11" xfId="4656"/>
    <cellStyle name="Percent 7 12" xfId="4657"/>
    <cellStyle name="Percent 7 13" xfId="4658"/>
    <cellStyle name="Percent 7 14" xfId="4659"/>
    <cellStyle name="Percent 7 15" xfId="4660"/>
    <cellStyle name="Percent 7 16" xfId="4661"/>
    <cellStyle name="Percent 7 17" xfId="4662"/>
    <cellStyle name="Percent 7 18" xfId="4663"/>
    <cellStyle name="Percent 7 19" xfId="4664"/>
    <cellStyle name="Percent 7 2" xfId="4665"/>
    <cellStyle name="Percent 7 20" xfId="4666"/>
    <cellStyle name="Percent 7 3" xfId="4667"/>
    <cellStyle name="Percent 7 4" xfId="4668"/>
    <cellStyle name="Percent 7 5" xfId="4669"/>
    <cellStyle name="Percent 7 6" xfId="4670"/>
    <cellStyle name="Percent 7 7" xfId="4671"/>
    <cellStyle name="Percent 7 8" xfId="4672"/>
    <cellStyle name="Percent 7 9" xfId="4673"/>
    <cellStyle name="Percent 8" xfId="1410"/>
    <cellStyle name="Percent 8 10" xfId="4674"/>
    <cellStyle name="Percent 8 11" xfId="4675"/>
    <cellStyle name="Percent 8 12" xfId="4676"/>
    <cellStyle name="Percent 8 13" xfId="4677"/>
    <cellStyle name="Percent 8 14" xfId="4678"/>
    <cellStyle name="Percent 8 15" xfId="4679"/>
    <cellStyle name="Percent 8 16" xfId="4680"/>
    <cellStyle name="Percent 8 17" xfId="4681"/>
    <cellStyle name="Percent 8 18" xfId="4682"/>
    <cellStyle name="Percent 8 19" xfId="4683"/>
    <cellStyle name="Percent 8 2" xfId="4684"/>
    <cellStyle name="Percent 8 20" xfId="4685"/>
    <cellStyle name="Percent 8 3" xfId="4686"/>
    <cellStyle name="Percent 8 4" xfId="4687"/>
    <cellStyle name="Percent 8 5" xfId="4688"/>
    <cellStyle name="Percent 8 6" xfId="4689"/>
    <cellStyle name="Percent 8 7" xfId="4690"/>
    <cellStyle name="Percent 8 8" xfId="4691"/>
    <cellStyle name="Percent 8 9" xfId="4692"/>
    <cellStyle name="Percent 9" xfId="1411"/>
    <cellStyle name="Percent 9 10" xfId="4693"/>
    <cellStyle name="Percent 9 11" xfId="4694"/>
    <cellStyle name="Percent 9 12" xfId="4695"/>
    <cellStyle name="Percent 9 13" xfId="4696"/>
    <cellStyle name="Percent 9 14" xfId="4697"/>
    <cellStyle name="Percent 9 15" xfId="4698"/>
    <cellStyle name="Percent 9 16" xfId="4699"/>
    <cellStyle name="Percent 9 17" xfId="4700"/>
    <cellStyle name="Percent 9 18" xfId="4701"/>
    <cellStyle name="Percent 9 19" xfId="4702"/>
    <cellStyle name="Percent 9 2" xfId="4703"/>
    <cellStyle name="Percent 9 20" xfId="4704"/>
    <cellStyle name="Percent 9 3" xfId="4705"/>
    <cellStyle name="Percent 9 4" xfId="4706"/>
    <cellStyle name="Percent 9 5" xfId="4707"/>
    <cellStyle name="Percent 9 6" xfId="4708"/>
    <cellStyle name="Percent 9 7" xfId="4709"/>
    <cellStyle name="Percent 9 8" xfId="4710"/>
    <cellStyle name="Percent 9 9" xfId="4711"/>
    <cellStyle name="Title 10" xfId="1412"/>
    <cellStyle name="Title 11" xfId="1413"/>
    <cellStyle name="Title 12" xfId="1414"/>
    <cellStyle name="Title 13" xfId="1415"/>
    <cellStyle name="Title 14" xfId="1416"/>
    <cellStyle name="Title 15" xfId="1417"/>
    <cellStyle name="Title 16" xfId="1418"/>
    <cellStyle name="Title 17" xfId="1419"/>
    <cellStyle name="Title 18" xfId="1420"/>
    <cellStyle name="Title 19" xfId="1421"/>
    <cellStyle name="Title 2" xfId="1422"/>
    <cellStyle name="Title 20" xfId="1423"/>
    <cellStyle name="Title 21" xfId="1424"/>
    <cellStyle name="Title 22" xfId="1425"/>
    <cellStyle name="Title 23" xfId="1426"/>
    <cellStyle name="Title 23 10" xfId="4712"/>
    <cellStyle name="Title 23 11" xfId="4713"/>
    <cellStyle name="Title 23 12" xfId="4714"/>
    <cellStyle name="Title 23 13" xfId="4715"/>
    <cellStyle name="Title 23 14" xfId="4716"/>
    <cellStyle name="Title 23 2" xfId="4717"/>
    <cellStyle name="Title 23 3" xfId="4718"/>
    <cellStyle name="Title 23 4" xfId="4719"/>
    <cellStyle name="Title 23 5" xfId="4720"/>
    <cellStyle name="Title 23 6" xfId="4721"/>
    <cellStyle name="Title 23 7" xfId="4722"/>
    <cellStyle name="Title 23 8" xfId="4723"/>
    <cellStyle name="Title 23 9" xfId="4724"/>
    <cellStyle name="Title 24" xfId="1427"/>
    <cellStyle name="Title 24 10" xfId="4725"/>
    <cellStyle name="Title 24 11" xfId="4726"/>
    <cellStyle name="Title 24 12" xfId="4727"/>
    <cellStyle name="Title 24 13" xfId="4728"/>
    <cellStyle name="Title 24 14" xfId="4729"/>
    <cellStyle name="Title 24 2" xfId="4730"/>
    <cellStyle name="Title 24 3" xfId="4731"/>
    <cellStyle name="Title 24 4" xfId="4732"/>
    <cellStyle name="Title 24 5" xfId="4733"/>
    <cellStyle name="Title 24 6" xfId="4734"/>
    <cellStyle name="Title 24 7" xfId="4735"/>
    <cellStyle name="Title 24 8" xfId="4736"/>
    <cellStyle name="Title 24 9" xfId="4737"/>
    <cellStyle name="Title 25" xfId="1428"/>
    <cellStyle name="Title 26" xfId="1429"/>
    <cellStyle name="Title 27" xfId="1430"/>
    <cellStyle name="Title 28" xfId="1431"/>
    <cellStyle name="Title 29" xfId="1432"/>
    <cellStyle name="Title 3" xfId="1433"/>
    <cellStyle name="Title 30" xfId="1434"/>
    <cellStyle name="Title 31" xfId="1435"/>
    <cellStyle name="Title 32" xfId="4738"/>
    <cellStyle name="Title 33" xfId="4739"/>
    <cellStyle name="Title 4" xfId="1436"/>
    <cellStyle name="Title 5" xfId="1437"/>
    <cellStyle name="Title 6" xfId="1438"/>
    <cellStyle name="Title 7" xfId="1439"/>
    <cellStyle name="Title 8" xfId="1440"/>
    <cellStyle name="Title 9" xfId="1441"/>
    <cellStyle name="Total 10" xfId="1442"/>
    <cellStyle name="Total 11" xfId="1443"/>
    <cellStyle name="Total 12" xfId="1444"/>
    <cellStyle name="Total 13" xfId="1445"/>
    <cellStyle name="Total 14" xfId="1446"/>
    <cellStyle name="Total 15" xfId="1447"/>
    <cellStyle name="Total 16" xfId="1448"/>
    <cellStyle name="Total 17" xfId="1449"/>
    <cellStyle name="Total 18" xfId="1450"/>
    <cellStyle name="Total 19" xfId="1451"/>
    <cellStyle name="Total 2" xfId="1452"/>
    <cellStyle name="Total 20" xfId="1453"/>
    <cellStyle name="Total 21" xfId="1454"/>
    <cellStyle name="Total 22" xfId="1455"/>
    <cellStyle name="Total 23" xfId="1456"/>
    <cellStyle name="Total 23 10" xfId="4740"/>
    <cellStyle name="Total 23 11" xfId="4741"/>
    <cellStyle name="Total 23 12" xfId="4742"/>
    <cellStyle name="Total 23 13" xfId="4743"/>
    <cellStyle name="Total 23 14" xfId="4744"/>
    <cellStyle name="Total 23 2" xfId="4745"/>
    <cellStyle name="Total 23 3" xfId="4746"/>
    <cellStyle name="Total 23 4" xfId="4747"/>
    <cellStyle name="Total 23 5" xfId="4748"/>
    <cellStyle name="Total 23 6" xfId="4749"/>
    <cellStyle name="Total 23 7" xfId="4750"/>
    <cellStyle name="Total 23 8" xfId="4751"/>
    <cellStyle name="Total 23 9" xfId="4752"/>
    <cellStyle name="Total 24" xfId="1457"/>
    <cellStyle name="Total 24 10" xfId="4753"/>
    <cellStyle name="Total 24 11" xfId="4754"/>
    <cellStyle name="Total 24 12" xfId="4755"/>
    <cellStyle name="Total 24 13" xfId="4756"/>
    <cellStyle name="Total 24 14" xfId="4757"/>
    <cellStyle name="Total 24 2" xfId="4758"/>
    <cellStyle name="Total 24 3" xfId="4759"/>
    <cellStyle name="Total 24 4" xfId="4760"/>
    <cellStyle name="Total 24 5" xfId="4761"/>
    <cellStyle name="Total 24 6" xfId="4762"/>
    <cellStyle name="Total 24 7" xfId="4763"/>
    <cellStyle name="Total 24 8" xfId="4764"/>
    <cellStyle name="Total 24 9" xfId="4765"/>
    <cellStyle name="Total 25" xfId="1458"/>
    <cellStyle name="Total 26" xfId="1459"/>
    <cellStyle name="Total 27" xfId="1460"/>
    <cellStyle name="Total 28" xfId="1461"/>
    <cellStyle name="Total 29" xfId="1462"/>
    <cellStyle name="Total 3" xfId="1463"/>
    <cellStyle name="Total 30" xfId="1464"/>
    <cellStyle name="Total 31" xfId="4766"/>
    <cellStyle name="Total 32" xfId="4767"/>
    <cellStyle name="Total 33" xfId="4768"/>
    <cellStyle name="Total 4" xfId="1465"/>
    <cellStyle name="Total 5" xfId="1466"/>
    <cellStyle name="Total 6" xfId="1467"/>
    <cellStyle name="Total 7" xfId="1468"/>
    <cellStyle name="Total 8" xfId="1469"/>
    <cellStyle name="Total 9" xfId="1470"/>
    <cellStyle name="Warning Text 10" xfId="1471"/>
    <cellStyle name="Warning Text 11" xfId="1472"/>
    <cellStyle name="Warning Text 12" xfId="1473"/>
    <cellStyle name="Warning Text 13" xfId="1474"/>
    <cellStyle name="Warning Text 14" xfId="1475"/>
    <cellStyle name="Warning Text 15" xfId="1476"/>
    <cellStyle name="Warning Text 16" xfId="1477"/>
    <cellStyle name="Warning Text 17" xfId="1478"/>
    <cellStyle name="Warning Text 18" xfId="1479"/>
    <cellStyle name="Warning Text 19" xfId="1480"/>
    <cellStyle name="Warning Text 2" xfId="1481"/>
    <cellStyle name="Warning Text 20" xfId="1482"/>
    <cellStyle name="Warning Text 21" xfId="1483"/>
    <cellStyle name="Warning Text 22" xfId="1484"/>
    <cellStyle name="Warning Text 23" xfId="1485"/>
    <cellStyle name="Warning Text 23 10" xfId="4769"/>
    <cellStyle name="Warning Text 23 11" xfId="4770"/>
    <cellStyle name="Warning Text 23 12" xfId="4771"/>
    <cellStyle name="Warning Text 23 13" xfId="4772"/>
    <cellStyle name="Warning Text 23 14" xfId="4773"/>
    <cellStyle name="Warning Text 23 2" xfId="4774"/>
    <cellStyle name="Warning Text 23 3" xfId="4775"/>
    <cellStyle name="Warning Text 23 4" xfId="4776"/>
    <cellStyle name="Warning Text 23 5" xfId="4777"/>
    <cellStyle name="Warning Text 23 6" xfId="4778"/>
    <cellStyle name="Warning Text 23 7" xfId="4779"/>
    <cellStyle name="Warning Text 23 8" xfId="4780"/>
    <cellStyle name="Warning Text 23 9" xfId="4781"/>
    <cellStyle name="Warning Text 24" xfId="1486"/>
    <cellStyle name="Warning Text 24 10" xfId="4782"/>
    <cellStyle name="Warning Text 24 11" xfId="4783"/>
    <cellStyle name="Warning Text 24 12" xfId="4784"/>
    <cellStyle name="Warning Text 24 13" xfId="4785"/>
    <cellStyle name="Warning Text 24 14" xfId="4786"/>
    <cellStyle name="Warning Text 24 2" xfId="4787"/>
    <cellStyle name="Warning Text 24 3" xfId="4788"/>
    <cellStyle name="Warning Text 24 4" xfId="4789"/>
    <cellStyle name="Warning Text 24 5" xfId="4790"/>
    <cellStyle name="Warning Text 24 6" xfId="4791"/>
    <cellStyle name="Warning Text 24 7" xfId="4792"/>
    <cellStyle name="Warning Text 24 8" xfId="4793"/>
    <cellStyle name="Warning Text 24 9" xfId="4794"/>
    <cellStyle name="Warning Text 25" xfId="1487"/>
    <cellStyle name="Warning Text 26" xfId="1488"/>
    <cellStyle name="Warning Text 27" xfId="1489"/>
    <cellStyle name="Warning Text 28" xfId="1490"/>
    <cellStyle name="Warning Text 29" xfId="1491"/>
    <cellStyle name="Warning Text 3" xfId="1492"/>
    <cellStyle name="Warning Text 30" xfId="1493"/>
    <cellStyle name="Warning Text 31" xfId="4795"/>
    <cellStyle name="Warning Text 32" xfId="4796"/>
    <cellStyle name="Warning Text 33" xfId="4797"/>
    <cellStyle name="Warning Text 4" xfId="1494"/>
    <cellStyle name="Warning Text 5" xfId="1495"/>
    <cellStyle name="Warning Text 6" xfId="1496"/>
    <cellStyle name="Warning Text 7" xfId="1497"/>
    <cellStyle name="Warning Text 8" xfId="1498"/>
    <cellStyle name="Warning Text 9" xfId="1499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General%20David%20B%20Birney%20CS%20(GDBC)\GDBC_Fiscal%20Year%202015-16\GDBC_Budget_2016\General%20Birney%20CS%20Adopted%20-%20Working%20comparison%2010-9-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Multi-Year Budget"/>
      <sheetName val="Assumpt"/>
      <sheetName val="Enrollment"/>
      <sheetName val="Cashflow"/>
      <sheetName val="Multi-Year Personnel"/>
      <sheetName val="Enrollment 2"/>
      <sheetName val="Manning Table"/>
      <sheetName val="PSP"/>
    </sheetNames>
    <sheetDataSet>
      <sheetData sheetId="0"/>
      <sheetData sheetId="1"/>
      <sheetData sheetId="2"/>
      <sheetData sheetId="3"/>
      <sheetData sheetId="4"/>
      <sheetData sheetId="5">
        <row r="66">
          <cell r="B66" t="str">
            <v>Coordinator, Mentoring Initiatives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1"/>
  <sheetViews>
    <sheetView tabSelected="1" workbookViewId="0">
      <selection activeCell="A3" sqref="A3:G3"/>
    </sheetView>
  </sheetViews>
  <sheetFormatPr defaultRowHeight="15"/>
  <cols>
    <col min="1" max="1" width="17.5703125" bestFit="1" customWidth="1"/>
    <col min="7" max="7" width="11" customWidth="1"/>
  </cols>
  <sheetData>
    <row r="3" spans="1:9" ht="25.5">
      <c r="A3" s="101" t="s">
        <v>121</v>
      </c>
      <c r="B3" s="101"/>
      <c r="C3" s="101"/>
      <c r="D3" s="101"/>
      <c r="E3" s="101"/>
      <c r="F3" s="101"/>
      <c r="G3" s="101"/>
      <c r="H3" s="84"/>
      <c r="I3" s="84"/>
    </row>
    <row r="7" spans="1:9" ht="23.25">
      <c r="A7" s="102" t="s">
        <v>104</v>
      </c>
      <c r="B7" s="102"/>
      <c r="C7" s="102"/>
      <c r="D7" s="102"/>
      <c r="E7" s="102"/>
      <c r="F7" s="102"/>
      <c r="G7" s="102"/>
      <c r="H7" s="85"/>
      <c r="I7" s="85"/>
    </row>
    <row r="8" spans="1:9" ht="23.25">
      <c r="A8" s="86"/>
      <c r="B8" s="86"/>
      <c r="C8" s="86"/>
      <c r="D8" s="86"/>
      <c r="E8" s="86"/>
      <c r="F8" s="86"/>
      <c r="G8" s="86"/>
      <c r="H8" s="86"/>
      <c r="I8" s="86"/>
    </row>
    <row r="11" spans="1:9" ht="23.25">
      <c r="A11" s="103">
        <v>42613</v>
      </c>
      <c r="B11" s="103"/>
      <c r="C11" s="103"/>
      <c r="D11" s="103"/>
      <c r="E11" s="103"/>
      <c r="F11" s="103"/>
      <c r="G11" s="103"/>
      <c r="H11" s="85"/>
      <c r="I11" s="85"/>
    </row>
  </sheetData>
  <mergeCells count="3">
    <mergeCell ref="A3:G3"/>
    <mergeCell ref="A7:G7"/>
    <mergeCell ref="A11:G11"/>
  </mergeCells>
  <printOptions horizontalCentered="1" verticalCentered="1"/>
  <pageMargins left="0.7" right="0.7" top="0.5" bottom="0.75" header="0.3" footer="0.3"/>
  <pageSetup orientation="portrait" r:id="rId1"/>
  <headerFoot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20"/>
  <sheetViews>
    <sheetView topLeftCell="B1" zoomScaleNormal="100" workbookViewId="0">
      <selection activeCell="B1" sqref="B1:H1"/>
    </sheetView>
  </sheetViews>
  <sheetFormatPr defaultRowHeight="12.75"/>
  <cols>
    <col min="1" max="1" width="5.7109375" style="26" hidden="1" customWidth="1"/>
    <col min="2" max="2" width="3.28515625" style="26" customWidth="1"/>
    <col min="3" max="3" width="3.5703125" style="26" customWidth="1"/>
    <col min="4" max="4" width="3.7109375" style="26" customWidth="1"/>
    <col min="5" max="5" width="3.42578125" style="26" customWidth="1"/>
    <col min="6" max="6" width="3.28515625" style="26" customWidth="1"/>
    <col min="7" max="7" width="34.140625" style="26" customWidth="1"/>
    <col min="8" max="8" width="1.7109375" style="26" customWidth="1"/>
    <col min="9" max="9" width="12.85546875" style="26" hidden="1" customWidth="1"/>
    <col min="10" max="10" width="13.7109375" style="26" customWidth="1"/>
    <col min="11" max="11" width="14.5703125" style="26" hidden="1" customWidth="1"/>
    <col min="12" max="12" width="3.42578125" style="26" customWidth="1"/>
    <col min="13" max="13" width="12" style="26" customWidth="1"/>
    <col min="14" max="14" width="10.28515625" style="26" bestFit="1" customWidth="1"/>
    <col min="15" max="15" width="12" style="26" customWidth="1"/>
    <col min="16" max="17" width="16.140625" style="26" customWidth="1"/>
    <col min="18" max="23" width="9.140625" style="26"/>
    <col min="24" max="24" width="13" style="91" customWidth="1"/>
    <col min="25" max="26" width="9.140625" style="26"/>
    <col min="27" max="27" width="12.7109375" style="26" bestFit="1" customWidth="1"/>
    <col min="28" max="16384" width="9.140625" style="26"/>
  </cols>
  <sheetData>
    <row r="1" spans="2:27">
      <c r="B1" s="104" t="s">
        <v>121</v>
      </c>
      <c r="C1" s="104"/>
      <c r="D1" s="104"/>
      <c r="E1" s="104"/>
      <c r="F1" s="104"/>
      <c r="G1" s="104"/>
      <c r="H1" s="104"/>
      <c r="I1" s="25"/>
      <c r="J1" s="25"/>
      <c r="K1" s="25"/>
      <c r="L1" s="20"/>
      <c r="M1" s="25"/>
      <c r="N1" s="25"/>
      <c r="O1" s="25"/>
      <c r="P1" s="25"/>
      <c r="Q1" s="25"/>
    </row>
    <row r="2" spans="2:27">
      <c r="B2" s="25" t="s">
        <v>86</v>
      </c>
      <c r="C2" s="2"/>
      <c r="D2" s="2"/>
      <c r="E2" s="2"/>
      <c r="F2" s="2"/>
      <c r="G2" s="2"/>
      <c r="H2" s="2"/>
      <c r="I2" s="2"/>
      <c r="J2" s="2"/>
      <c r="K2" s="2"/>
      <c r="L2" s="20"/>
      <c r="M2" s="2"/>
      <c r="N2" s="2"/>
      <c r="O2" s="90"/>
      <c r="P2" s="90"/>
      <c r="Q2" s="90"/>
    </row>
    <row r="3" spans="2:27">
      <c r="B3" s="2"/>
      <c r="C3" s="2"/>
      <c r="D3" s="2"/>
      <c r="E3" s="2"/>
      <c r="F3" s="2"/>
      <c r="G3" s="3"/>
      <c r="H3" s="2"/>
      <c r="I3" s="2"/>
      <c r="J3" s="2"/>
      <c r="K3" s="2"/>
      <c r="L3" s="20"/>
      <c r="M3" s="2"/>
      <c r="N3" s="2"/>
      <c r="O3" s="90"/>
      <c r="P3" s="90"/>
      <c r="Q3" s="90"/>
    </row>
    <row r="4" spans="2:27">
      <c r="B4" s="2"/>
      <c r="C4" s="2"/>
      <c r="D4" s="2"/>
      <c r="E4" s="2"/>
      <c r="F4" s="2"/>
      <c r="G4" s="2"/>
      <c r="H4" s="2"/>
      <c r="I4" s="2"/>
      <c r="J4" s="2"/>
      <c r="K4" s="2"/>
      <c r="L4" s="20"/>
      <c r="M4" s="2"/>
      <c r="N4" s="2"/>
      <c r="O4" s="90"/>
      <c r="P4" s="90"/>
      <c r="Q4" s="90"/>
    </row>
    <row r="5" spans="2:27">
      <c r="B5" s="2"/>
      <c r="C5" s="90"/>
      <c r="D5" s="90"/>
      <c r="E5" s="90"/>
      <c r="F5" s="90"/>
      <c r="G5" s="90"/>
      <c r="H5" s="90"/>
      <c r="I5" s="90" t="s">
        <v>0</v>
      </c>
      <c r="J5" s="90"/>
      <c r="K5" s="90"/>
      <c r="L5" s="20"/>
      <c r="M5" s="90"/>
      <c r="N5" s="90"/>
      <c r="O5" s="90"/>
      <c r="P5" s="90"/>
      <c r="Q5" s="90"/>
    </row>
    <row r="6" spans="2:27">
      <c r="B6" s="59"/>
      <c r="C6" s="59"/>
      <c r="D6" s="59"/>
      <c r="E6" s="59"/>
      <c r="F6" s="59"/>
      <c r="G6" s="2" t="s">
        <v>1</v>
      </c>
      <c r="H6" s="4"/>
      <c r="I6" s="90" t="s">
        <v>90</v>
      </c>
      <c r="J6" s="90" t="s">
        <v>114</v>
      </c>
      <c r="K6" s="90" t="s">
        <v>114</v>
      </c>
      <c r="L6" s="20"/>
      <c r="M6" s="90"/>
      <c r="N6" s="90"/>
      <c r="O6" s="90"/>
      <c r="P6" s="90"/>
    </row>
    <row r="7" spans="2:27" ht="16.5" thickBot="1">
      <c r="B7" s="59"/>
      <c r="C7" s="59"/>
      <c r="D7" s="59"/>
      <c r="E7" s="59"/>
      <c r="F7" s="59"/>
      <c r="G7" s="2" t="s">
        <v>2</v>
      </c>
      <c r="I7" s="5">
        <v>490</v>
      </c>
      <c r="J7" s="5">
        <v>725</v>
      </c>
      <c r="K7" s="5">
        <v>725</v>
      </c>
      <c r="L7" s="20"/>
      <c r="M7" s="90" t="s">
        <v>87</v>
      </c>
      <c r="N7" s="90"/>
      <c r="O7" s="90"/>
      <c r="P7" s="90"/>
      <c r="R7" s="61"/>
      <c r="S7" s="88"/>
      <c r="T7" s="62"/>
      <c r="U7" s="63"/>
      <c r="V7" s="63"/>
      <c r="W7" s="63"/>
      <c r="X7" s="63"/>
      <c r="Y7" s="88"/>
      <c r="Z7" s="88"/>
    </row>
    <row r="8" spans="2:27" ht="26.25">
      <c r="B8" s="59"/>
      <c r="C8" s="59"/>
      <c r="D8" s="59"/>
      <c r="E8" s="59"/>
      <c r="F8" s="59"/>
      <c r="G8" s="1" t="s">
        <v>3</v>
      </c>
      <c r="I8" s="90" t="s">
        <v>4</v>
      </c>
      <c r="J8" s="81" t="s">
        <v>116</v>
      </c>
      <c r="K8" s="81" t="s">
        <v>116</v>
      </c>
      <c r="L8" s="20"/>
      <c r="M8" s="90" t="s">
        <v>5</v>
      </c>
      <c r="N8" s="90" t="s">
        <v>88</v>
      </c>
      <c r="O8" s="90" t="s">
        <v>89</v>
      </c>
      <c r="P8" s="90"/>
      <c r="R8" s="88"/>
      <c r="S8" s="64" t="s">
        <v>117</v>
      </c>
      <c r="T8" s="65"/>
      <c r="U8" s="65"/>
      <c r="V8" s="65"/>
      <c r="W8" s="65"/>
      <c r="X8" s="92"/>
      <c r="Y8" s="88"/>
      <c r="Z8" s="88"/>
    </row>
    <row r="9" spans="2:27" ht="32.25" customHeight="1">
      <c r="B9" s="59"/>
      <c r="C9" s="59"/>
      <c r="D9" s="59"/>
      <c r="E9" s="59"/>
      <c r="F9" s="59"/>
      <c r="G9" s="1"/>
      <c r="I9" s="81" t="s">
        <v>99</v>
      </c>
      <c r="J9" s="81" t="s">
        <v>110</v>
      </c>
      <c r="K9" s="81" t="s">
        <v>120</v>
      </c>
      <c r="L9" s="82"/>
      <c r="M9" s="83" t="s">
        <v>115</v>
      </c>
      <c r="N9" s="83" t="s">
        <v>115</v>
      </c>
      <c r="O9" s="83" t="s">
        <v>115</v>
      </c>
      <c r="P9" s="90"/>
      <c r="R9" s="88"/>
      <c r="S9" s="66"/>
      <c r="T9" s="67"/>
      <c r="U9" s="67"/>
      <c r="V9" s="67"/>
      <c r="W9" s="67"/>
      <c r="X9" s="72"/>
      <c r="Y9" s="88"/>
      <c r="Z9" s="88"/>
    </row>
    <row r="10" spans="2:27" ht="15.7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90"/>
      <c r="R10" s="88"/>
      <c r="S10" s="66" t="s">
        <v>118</v>
      </c>
      <c r="T10" s="67"/>
      <c r="U10" s="67"/>
      <c r="V10" s="67"/>
      <c r="W10" s="67"/>
      <c r="X10" s="72"/>
      <c r="Y10" s="88"/>
      <c r="Z10" s="88"/>
    </row>
    <row r="11" spans="2:27" ht="15.75">
      <c r="B11" s="7"/>
      <c r="C11" s="7" t="s">
        <v>14</v>
      </c>
      <c r="D11" s="6"/>
      <c r="E11" s="6"/>
      <c r="F11" s="6"/>
      <c r="G11" s="6"/>
      <c r="H11" s="6"/>
      <c r="I11" s="16"/>
      <c r="J11" s="28"/>
      <c r="K11" s="28"/>
      <c r="L11" s="29"/>
      <c r="M11" s="30"/>
      <c r="N11" s="30"/>
      <c r="O11" s="30"/>
      <c r="P11" s="90"/>
      <c r="R11" s="88"/>
      <c r="S11" s="68"/>
      <c r="T11" s="69"/>
      <c r="U11" s="70"/>
      <c r="V11" s="70"/>
      <c r="W11" s="70"/>
      <c r="X11" s="71"/>
      <c r="Y11" s="88"/>
      <c r="Z11" s="88"/>
    </row>
    <row r="12" spans="2:27" ht="15.75">
      <c r="B12" s="7"/>
      <c r="C12" s="6"/>
      <c r="D12" s="7" t="s">
        <v>6</v>
      </c>
      <c r="E12" s="6"/>
      <c r="F12" s="6"/>
      <c r="G12" s="6"/>
      <c r="H12" s="6"/>
      <c r="I12" s="16"/>
      <c r="J12" s="28"/>
      <c r="K12" s="28"/>
      <c r="L12" s="29"/>
      <c r="M12" s="30"/>
      <c r="N12" s="30"/>
      <c r="O12" s="30"/>
      <c r="P12" s="90"/>
      <c r="R12" s="88"/>
      <c r="S12" s="68"/>
      <c r="T12" s="69"/>
      <c r="U12" s="70"/>
      <c r="V12" s="70"/>
      <c r="W12" s="70"/>
      <c r="X12" s="71"/>
      <c r="Y12" s="88"/>
      <c r="Z12" s="88"/>
    </row>
    <row r="13" spans="2:27" ht="15.75">
      <c r="B13" s="7"/>
      <c r="C13" s="6"/>
      <c r="E13" s="10" t="s">
        <v>15</v>
      </c>
      <c r="F13" s="6"/>
      <c r="G13" s="6"/>
      <c r="H13" s="6"/>
      <c r="I13" s="16">
        <f t="shared" ref="I13:K13" si="0">I64</f>
        <v>6705116</v>
      </c>
      <c r="J13" s="16">
        <f t="shared" si="0"/>
        <v>6973262</v>
      </c>
      <c r="K13" s="16">
        <f t="shared" si="0"/>
        <v>6973262</v>
      </c>
      <c r="L13" s="29"/>
      <c r="M13" s="16">
        <f t="shared" ref="M13:O13" si="1">M64</f>
        <v>1162210.3333333333</v>
      </c>
      <c r="N13" s="16">
        <f t="shared" si="1"/>
        <v>1210036.1399999999</v>
      </c>
      <c r="O13" s="16">
        <f t="shared" si="1"/>
        <v>47825.806666666642</v>
      </c>
      <c r="P13" s="90"/>
      <c r="R13" s="88"/>
      <c r="S13" s="68"/>
      <c r="T13" s="69" t="s">
        <v>91</v>
      </c>
      <c r="U13" s="67" t="s">
        <v>92</v>
      </c>
      <c r="V13" s="67"/>
      <c r="W13" s="69" t="s">
        <v>93</v>
      </c>
      <c r="X13" s="72"/>
      <c r="Y13" s="88"/>
      <c r="Z13" s="88"/>
    </row>
    <row r="14" spans="2:27" ht="15.75">
      <c r="B14" s="7"/>
      <c r="C14" s="6"/>
      <c r="E14" s="10" t="s">
        <v>16</v>
      </c>
      <c r="F14" s="6"/>
      <c r="G14" s="6"/>
      <c r="H14" s="6"/>
      <c r="I14" s="16">
        <f t="shared" ref="I14:K14" si="2">I68</f>
        <v>84500</v>
      </c>
      <c r="J14" s="16">
        <f t="shared" si="2"/>
        <v>68750</v>
      </c>
      <c r="K14" s="16">
        <f t="shared" si="2"/>
        <v>68750</v>
      </c>
      <c r="L14" s="29"/>
      <c r="M14" s="16">
        <f t="shared" ref="M14:O14" si="3">M68</f>
        <v>833.33333333333337</v>
      </c>
      <c r="N14" s="16">
        <f t="shared" si="3"/>
        <v>2529.65</v>
      </c>
      <c r="O14" s="16">
        <f t="shared" si="3"/>
        <v>1696.3166666666666</v>
      </c>
      <c r="P14" s="90"/>
      <c r="R14" s="88"/>
      <c r="S14" s="68"/>
      <c r="T14" s="69" t="s">
        <v>94</v>
      </c>
      <c r="U14" s="69" t="s">
        <v>95</v>
      </c>
      <c r="V14" s="69" t="s">
        <v>96</v>
      </c>
      <c r="W14" s="69" t="s">
        <v>97</v>
      </c>
      <c r="X14" s="72"/>
      <c r="Y14" s="88"/>
      <c r="Z14" s="88"/>
    </row>
    <row r="15" spans="2:27" ht="15.75">
      <c r="B15" s="7"/>
      <c r="C15" s="6"/>
      <c r="E15" s="10" t="s">
        <v>7</v>
      </c>
      <c r="F15" s="6"/>
      <c r="G15" s="6"/>
      <c r="H15" s="6"/>
      <c r="I15" s="16">
        <f t="shared" ref="I15:K15" si="4">I73</f>
        <v>92000</v>
      </c>
      <c r="J15" s="16">
        <f t="shared" si="4"/>
        <v>10000</v>
      </c>
      <c r="K15" s="16">
        <f t="shared" si="4"/>
        <v>10000</v>
      </c>
      <c r="L15" s="29"/>
      <c r="M15" s="16">
        <f t="shared" ref="M15:O15" si="5">M73</f>
        <v>0</v>
      </c>
      <c r="N15" s="16">
        <f t="shared" si="5"/>
        <v>0</v>
      </c>
      <c r="O15" s="16">
        <f t="shared" si="5"/>
        <v>0</v>
      </c>
      <c r="P15" s="90"/>
      <c r="R15" s="88"/>
      <c r="S15" s="68"/>
      <c r="T15" s="69">
        <v>24</v>
      </c>
      <c r="U15" s="73">
        <v>42548</v>
      </c>
      <c r="V15" s="73">
        <v>42559</v>
      </c>
      <c r="W15" s="73">
        <v>42566</v>
      </c>
      <c r="X15" s="93">
        <v>0.6</v>
      </c>
      <c r="Y15" s="88"/>
      <c r="Z15" s="88"/>
    </row>
    <row r="16" spans="2:27" ht="15.75">
      <c r="B16" s="7"/>
      <c r="C16" s="6"/>
      <c r="E16" s="10" t="s">
        <v>8</v>
      </c>
      <c r="F16" s="6"/>
      <c r="G16" s="6"/>
      <c r="H16" s="6"/>
      <c r="I16" s="16">
        <f t="shared" ref="I16:K16" si="6">I76</f>
        <v>473900</v>
      </c>
      <c r="J16" s="16">
        <f t="shared" si="6"/>
        <v>586619.25</v>
      </c>
      <c r="K16" s="16">
        <f t="shared" si="6"/>
        <v>586619.25</v>
      </c>
      <c r="L16" s="29"/>
      <c r="M16" s="16">
        <f t="shared" ref="M16:O16" si="7">M76</f>
        <v>97769.875</v>
      </c>
      <c r="N16" s="16">
        <f t="shared" si="7"/>
        <v>78122.679999999993</v>
      </c>
      <c r="O16" s="16">
        <f t="shared" si="7"/>
        <v>-19647.195000000007</v>
      </c>
      <c r="R16" s="88"/>
      <c r="S16" s="74"/>
      <c r="T16" s="69">
        <v>25</v>
      </c>
      <c r="U16" s="73">
        <v>42562</v>
      </c>
      <c r="V16" s="73">
        <v>42573</v>
      </c>
      <c r="W16" s="73">
        <v>42580</v>
      </c>
      <c r="X16" s="93">
        <f>+X15+1</f>
        <v>1.6</v>
      </c>
      <c r="Y16" s="88"/>
      <c r="Z16" s="88"/>
      <c r="AA16" s="69"/>
    </row>
    <row r="17" spans="2:27" ht="15.75">
      <c r="B17" s="7"/>
      <c r="C17" s="6"/>
      <c r="E17" s="6"/>
      <c r="F17" s="7" t="s">
        <v>9</v>
      </c>
      <c r="G17" s="6"/>
      <c r="H17" s="6"/>
      <c r="I17" s="17">
        <f t="shared" ref="I17:J17" si="8">SUM(I13:I16)</f>
        <v>7355516</v>
      </c>
      <c r="J17" s="17">
        <f t="shared" si="8"/>
        <v>7638631.25</v>
      </c>
      <c r="K17" s="17">
        <f t="shared" ref="K17" si="9">SUM(K13:K16)</f>
        <v>7638631.25</v>
      </c>
      <c r="L17" s="29"/>
      <c r="M17" s="17">
        <f t="shared" ref="M17:O17" si="10">SUM(M13:M16)</f>
        <v>1260813.5416666665</v>
      </c>
      <c r="N17" s="17">
        <f t="shared" si="10"/>
        <v>1290688.4699999997</v>
      </c>
      <c r="O17" s="17">
        <f t="shared" si="10"/>
        <v>29874.928333333301</v>
      </c>
      <c r="R17" s="88"/>
      <c r="S17" s="74"/>
      <c r="T17" s="69">
        <v>26</v>
      </c>
      <c r="U17" s="73">
        <v>42576</v>
      </c>
      <c r="V17" s="73">
        <v>42587</v>
      </c>
      <c r="W17" s="73">
        <v>42594</v>
      </c>
      <c r="X17" s="93">
        <f t="shared" ref="X17:X18" si="11">+X16+1</f>
        <v>2.6</v>
      </c>
      <c r="Y17" s="88"/>
      <c r="Z17" s="88"/>
    </row>
    <row r="18" spans="2:27" ht="15.75">
      <c r="B18" s="7"/>
      <c r="C18" s="6"/>
      <c r="D18" s="6"/>
      <c r="E18" s="6"/>
      <c r="F18" s="6"/>
      <c r="G18" s="6"/>
      <c r="H18" s="6"/>
      <c r="I18" s="16"/>
      <c r="J18" s="31"/>
      <c r="K18" s="31"/>
      <c r="L18" s="29"/>
      <c r="M18" s="31"/>
      <c r="N18" s="31"/>
      <c r="O18" s="31"/>
      <c r="R18" s="8"/>
      <c r="S18" s="75"/>
      <c r="T18" s="76">
        <v>27</v>
      </c>
      <c r="U18" s="77">
        <v>42590</v>
      </c>
      <c r="V18" s="77">
        <v>42601</v>
      </c>
      <c r="W18" s="77">
        <v>42608</v>
      </c>
      <c r="X18" s="93">
        <f t="shared" si="11"/>
        <v>3.6</v>
      </c>
      <c r="Y18" s="88"/>
      <c r="Z18" s="88"/>
    </row>
    <row r="19" spans="2:27" ht="15.75">
      <c r="B19" s="7"/>
      <c r="C19" s="90"/>
      <c r="D19" s="7" t="s">
        <v>10</v>
      </c>
      <c r="F19" s="6"/>
      <c r="G19" s="6"/>
      <c r="H19" s="6"/>
      <c r="I19" s="16"/>
      <c r="J19" s="31"/>
      <c r="K19" s="31"/>
      <c r="L19" s="29"/>
      <c r="M19" s="31"/>
      <c r="N19" s="31"/>
      <c r="O19" s="31"/>
      <c r="R19" s="88"/>
      <c r="S19" s="74"/>
      <c r="T19" s="78"/>
      <c r="U19" s="79"/>
      <c r="V19" s="79"/>
      <c r="W19" s="79"/>
      <c r="X19" s="94"/>
      <c r="Y19" s="88"/>
      <c r="Z19" s="88"/>
    </row>
    <row r="20" spans="2:27" ht="15.75">
      <c r="B20" s="7"/>
      <c r="C20" s="90"/>
      <c r="D20" s="6"/>
      <c r="E20" s="7" t="s">
        <v>11</v>
      </c>
      <c r="F20" s="6"/>
      <c r="G20" s="6"/>
      <c r="H20" s="6"/>
      <c r="I20" s="16"/>
      <c r="J20" s="31"/>
      <c r="K20" s="31"/>
      <c r="L20" s="29"/>
      <c r="M20" s="31"/>
      <c r="N20" s="31"/>
      <c r="O20" s="31"/>
      <c r="R20" s="8"/>
      <c r="S20" s="75"/>
      <c r="T20" s="76">
        <v>1</v>
      </c>
      <c r="U20" s="77">
        <v>42604</v>
      </c>
      <c r="V20" s="77">
        <v>42615</v>
      </c>
      <c r="W20" s="77">
        <v>42622</v>
      </c>
      <c r="X20" s="95">
        <f>+X18+1</f>
        <v>4.5999999999999996</v>
      </c>
      <c r="Y20" s="8"/>
      <c r="Z20" s="8"/>
      <c r="AA20" s="27"/>
    </row>
    <row r="21" spans="2:27" ht="15.75">
      <c r="B21" s="7"/>
      <c r="C21" s="90"/>
      <c r="D21" s="6"/>
      <c r="E21" s="6"/>
      <c r="F21" s="6" t="s">
        <v>17</v>
      </c>
      <c r="G21" s="6"/>
      <c r="H21" s="6"/>
      <c r="I21" s="16">
        <f>I90</f>
        <v>3847849</v>
      </c>
      <c r="J21" s="16">
        <f>J90</f>
        <v>3236270.6764999996</v>
      </c>
      <c r="K21" s="16">
        <f>K90</f>
        <v>3236270.6764999996</v>
      </c>
      <c r="L21" s="29"/>
      <c r="M21" s="16">
        <f>M90</f>
        <v>132055.14736217947</v>
      </c>
      <c r="N21" s="16">
        <f>N90</f>
        <v>134521.56</v>
      </c>
      <c r="O21" s="16">
        <f>O90</f>
        <v>-2466.412637820521</v>
      </c>
      <c r="R21" s="88"/>
      <c r="S21" s="74"/>
      <c r="T21" s="76">
        <v>2</v>
      </c>
      <c r="U21" s="77">
        <f>+U20+14</f>
        <v>42618</v>
      </c>
      <c r="V21" s="77">
        <f t="shared" ref="V21" si="12">+V20+14</f>
        <v>42629</v>
      </c>
      <c r="W21" s="77">
        <f>+W20+14</f>
        <v>42636</v>
      </c>
      <c r="X21" s="95">
        <f>+X20+1</f>
        <v>5.6</v>
      </c>
      <c r="Y21" s="8"/>
      <c r="Z21" s="8"/>
      <c r="AA21" s="27"/>
    </row>
    <row r="22" spans="2:27" ht="15.75">
      <c r="B22" s="7"/>
      <c r="C22" s="90"/>
      <c r="D22" s="6"/>
      <c r="E22" s="6"/>
      <c r="F22" s="6" t="s">
        <v>18</v>
      </c>
      <c r="G22" s="6"/>
      <c r="H22" s="6"/>
      <c r="I22" s="16">
        <f>I97</f>
        <v>1102625</v>
      </c>
      <c r="J22" s="16">
        <f>J97</f>
        <v>709408.34139999992</v>
      </c>
      <c r="K22" s="16">
        <f>K97</f>
        <v>709408.34139999992</v>
      </c>
      <c r="L22" s="29"/>
      <c r="M22" s="16">
        <f>M97</f>
        <v>76501.5581576923</v>
      </c>
      <c r="N22" s="16">
        <f>N97</f>
        <v>74502.33</v>
      </c>
      <c r="O22" s="16">
        <f>O97</f>
        <v>1999.2281576923033</v>
      </c>
      <c r="R22" s="88"/>
      <c r="S22" s="74"/>
      <c r="T22" s="76">
        <f>1+T21</f>
        <v>3</v>
      </c>
      <c r="U22" s="77">
        <f t="shared" ref="U22:W37" si="13">+U21+14</f>
        <v>42632</v>
      </c>
      <c r="V22" s="77">
        <f t="shared" si="13"/>
        <v>42643</v>
      </c>
      <c r="W22" s="77">
        <f t="shared" si="13"/>
        <v>42650</v>
      </c>
      <c r="X22" s="95">
        <f t="shared" ref="X22:X41" si="14">+X21+1</f>
        <v>6.6</v>
      </c>
      <c r="Y22" s="8"/>
      <c r="Z22" s="8"/>
      <c r="AA22" s="27"/>
    </row>
    <row r="23" spans="2:27" ht="15.75">
      <c r="B23" s="7"/>
      <c r="C23" s="90"/>
      <c r="D23" s="6"/>
      <c r="E23" s="6"/>
      <c r="F23" s="9" t="s">
        <v>19</v>
      </c>
      <c r="G23" s="6"/>
      <c r="H23" s="6"/>
      <c r="I23" s="16">
        <f>I102</f>
        <v>0</v>
      </c>
      <c r="J23" s="16">
        <f>J102</f>
        <v>76860.445350000009</v>
      </c>
      <c r="K23" s="16">
        <f>K102</f>
        <v>76860.445350000009</v>
      </c>
      <c r="L23" s="29"/>
      <c r="M23" s="16">
        <f>M102</f>
        <v>20283</v>
      </c>
      <c r="N23" s="16">
        <f>N102</f>
        <v>20419.36</v>
      </c>
      <c r="O23" s="16">
        <f>O102</f>
        <v>-136.35999999999967</v>
      </c>
      <c r="R23" s="88"/>
      <c r="S23" s="74"/>
      <c r="T23" s="76">
        <f t="shared" ref="T23:T43" si="15">1+T22</f>
        <v>4</v>
      </c>
      <c r="U23" s="77">
        <f t="shared" si="13"/>
        <v>42646</v>
      </c>
      <c r="V23" s="77">
        <f t="shared" si="13"/>
        <v>42657</v>
      </c>
      <c r="W23" s="77">
        <f t="shared" si="13"/>
        <v>42664</v>
      </c>
      <c r="X23" s="95">
        <f t="shared" si="14"/>
        <v>7.6</v>
      </c>
      <c r="Y23" s="8"/>
      <c r="Z23" s="8"/>
      <c r="AA23" s="27"/>
    </row>
    <row r="24" spans="2:27" ht="15.75">
      <c r="B24" s="7"/>
      <c r="C24" s="90"/>
      <c r="D24" s="6"/>
      <c r="E24" s="7" t="s">
        <v>20</v>
      </c>
      <c r="F24" s="6"/>
      <c r="G24" s="6"/>
      <c r="H24" s="6"/>
      <c r="I24" s="24"/>
      <c r="J24" s="24"/>
      <c r="K24" s="24"/>
      <c r="L24" s="29"/>
      <c r="M24" s="24"/>
      <c r="N24" s="24"/>
      <c r="O24" s="24"/>
      <c r="R24" s="88"/>
      <c r="S24" s="74"/>
      <c r="T24" s="76">
        <f t="shared" si="15"/>
        <v>5</v>
      </c>
      <c r="U24" s="77">
        <f t="shared" si="13"/>
        <v>42660</v>
      </c>
      <c r="V24" s="77">
        <f t="shared" si="13"/>
        <v>42671</v>
      </c>
      <c r="W24" s="77">
        <f t="shared" si="13"/>
        <v>42678</v>
      </c>
      <c r="X24" s="95">
        <f t="shared" si="14"/>
        <v>8.6</v>
      </c>
      <c r="Y24" s="8"/>
      <c r="Z24" s="8"/>
      <c r="AA24" s="27"/>
    </row>
    <row r="25" spans="2:27" ht="15.75">
      <c r="B25" s="7"/>
      <c r="C25" s="90"/>
      <c r="D25" s="6"/>
      <c r="E25" s="6"/>
      <c r="F25" s="6" t="s">
        <v>21</v>
      </c>
      <c r="G25" s="6"/>
      <c r="H25" s="6"/>
      <c r="I25" s="16">
        <f>I110</f>
        <v>78363</v>
      </c>
      <c r="J25" s="16">
        <f>J110</f>
        <v>86821.508000000002</v>
      </c>
      <c r="K25" s="16">
        <f>K110</f>
        <v>86821.508000000002</v>
      </c>
      <c r="L25" s="29"/>
      <c r="M25" s="16">
        <f>M110</f>
        <v>1835.8562307692307</v>
      </c>
      <c r="N25" s="16">
        <f>N110</f>
        <v>121.43</v>
      </c>
      <c r="O25" s="16">
        <f>O110</f>
        <v>1714.4262307692306</v>
      </c>
      <c r="R25" s="88"/>
      <c r="S25" s="74"/>
      <c r="T25" s="76">
        <f t="shared" si="15"/>
        <v>6</v>
      </c>
      <c r="U25" s="77">
        <f t="shared" si="13"/>
        <v>42674</v>
      </c>
      <c r="V25" s="77">
        <f t="shared" si="13"/>
        <v>42685</v>
      </c>
      <c r="W25" s="77">
        <f t="shared" si="13"/>
        <v>42692</v>
      </c>
      <c r="X25" s="95">
        <f t="shared" si="14"/>
        <v>9.6</v>
      </c>
      <c r="Y25" s="8"/>
      <c r="Z25" s="8"/>
      <c r="AA25" s="27"/>
    </row>
    <row r="26" spans="2:27" ht="15.75">
      <c r="B26" s="7"/>
      <c r="C26" s="90"/>
      <c r="D26" s="6"/>
      <c r="E26" s="6"/>
      <c r="F26" s="9" t="s">
        <v>22</v>
      </c>
      <c r="G26" s="6"/>
      <c r="H26" s="6"/>
      <c r="I26" s="16">
        <f>I115</f>
        <v>105277</v>
      </c>
      <c r="J26" s="16">
        <f>J115</f>
        <v>216423.61600000001</v>
      </c>
      <c r="K26" s="16">
        <f>K115</f>
        <v>216423.61600000001</v>
      </c>
      <c r="L26" s="29"/>
      <c r="M26" s="16">
        <f>M115</f>
        <v>10383.413743589745</v>
      </c>
      <c r="N26" s="16">
        <f>N115</f>
        <v>4426.1400000000003</v>
      </c>
      <c r="O26" s="16">
        <f>O115</f>
        <v>5957.2737435897452</v>
      </c>
      <c r="R26" s="88"/>
      <c r="S26" s="74"/>
      <c r="T26" s="76">
        <f t="shared" si="15"/>
        <v>7</v>
      </c>
      <c r="U26" s="77">
        <f t="shared" si="13"/>
        <v>42688</v>
      </c>
      <c r="V26" s="77">
        <f t="shared" si="13"/>
        <v>42699</v>
      </c>
      <c r="W26" s="77">
        <f t="shared" si="13"/>
        <v>42706</v>
      </c>
      <c r="X26" s="95">
        <f t="shared" si="14"/>
        <v>10.6</v>
      </c>
      <c r="Y26" s="8"/>
      <c r="Z26" s="8"/>
      <c r="AA26" s="27"/>
    </row>
    <row r="27" spans="2:27" ht="15.75">
      <c r="B27" s="7"/>
      <c r="C27" s="90"/>
      <c r="D27" s="6"/>
      <c r="E27" s="6"/>
      <c r="F27" s="9" t="s">
        <v>23</v>
      </c>
      <c r="G27" s="6"/>
      <c r="H27" s="6"/>
      <c r="I27" s="16">
        <f>I119</f>
        <v>0</v>
      </c>
      <c r="J27" s="16">
        <f>J119</f>
        <v>73360.800000000003</v>
      </c>
      <c r="K27" s="16">
        <f>K119</f>
        <v>73360.800000000003</v>
      </c>
      <c r="L27" s="29"/>
      <c r="M27" s="16">
        <f>M119</f>
        <v>770.8153846153848</v>
      </c>
      <c r="N27" s="16">
        <f>N119</f>
        <v>130.97999999999999</v>
      </c>
      <c r="O27" s="16">
        <f>O119</f>
        <v>639.83538461538478</v>
      </c>
      <c r="R27" s="88"/>
      <c r="S27" s="74"/>
      <c r="T27" s="76">
        <f t="shared" si="15"/>
        <v>8</v>
      </c>
      <c r="U27" s="77">
        <f t="shared" si="13"/>
        <v>42702</v>
      </c>
      <c r="V27" s="77">
        <f t="shared" si="13"/>
        <v>42713</v>
      </c>
      <c r="W27" s="77">
        <f t="shared" si="13"/>
        <v>42720</v>
      </c>
      <c r="X27" s="95">
        <f t="shared" si="14"/>
        <v>11.6</v>
      </c>
      <c r="Y27" s="8"/>
      <c r="Z27" s="8"/>
      <c r="AA27" s="27"/>
    </row>
    <row r="28" spans="2:27" ht="15.75">
      <c r="B28" s="7"/>
      <c r="C28" s="90"/>
      <c r="D28" s="6"/>
      <c r="E28" s="6"/>
      <c r="F28" s="9" t="s">
        <v>24</v>
      </c>
      <c r="G28" s="6"/>
      <c r="H28" s="6"/>
      <c r="I28" s="16">
        <f>I124</f>
        <v>0</v>
      </c>
      <c r="J28" s="16">
        <f>J124</f>
        <v>5000</v>
      </c>
      <c r="K28" s="16">
        <f>K124</f>
        <v>5000</v>
      </c>
      <c r="L28" s="29"/>
      <c r="M28" s="16">
        <f>M124</f>
        <v>0</v>
      </c>
      <c r="N28" s="16">
        <f>N124</f>
        <v>0</v>
      </c>
      <c r="O28" s="16">
        <f>O124</f>
        <v>0</v>
      </c>
      <c r="R28" s="88"/>
      <c r="S28" s="74"/>
      <c r="T28" s="76">
        <f t="shared" si="15"/>
        <v>9</v>
      </c>
      <c r="U28" s="77">
        <f t="shared" si="13"/>
        <v>42716</v>
      </c>
      <c r="V28" s="77">
        <f t="shared" si="13"/>
        <v>42727</v>
      </c>
      <c r="W28" s="77">
        <f t="shared" si="13"/>
        <v>42734</v>
      </c>
      <c r="X28" s="95">
        <f t="shared" si="14"/>
        <v>12.6</v>
      </c>
      <c r="Y28" s="8"/>
      <c r="Z28" s="8"/>
      <c r="AA28" s="27"/>
    </row>
    <row r="29" spans="2:27" ht="15.75">
      <c r="B29" s="7"/>
      <c r="C29" s="90"/>
      <c r="D29" s="6"/>
      <c r="E29" s="6"/>
      <c r="F29" s="9" t="s">
        <v>25</v>
      </c>
      <c r="G29" s="6"/>
      <c r="H29" s="6"/>
      <c r="I29" s="16">
        <f>+I129</f>
        <v>54000</v>
      </c>
      <c r="J29" s="16">
        <f>+J129</f>
        <v>40000</v>
      </c>
      <c r="K29" s="16">
        <f>+K129</f>
        <v>40000</v>
      </c>
      <c r="L29" s="29"/>
      <c r="M29" s="16">
        <f>+M129</f>
        <v>0</v>
      </c>
      <c r="N29" s="16">
        <f>+N129</f>
        <v>0</v>
      </c>
      <c r="O29" s="16">
        <f>+O129</f>
        <v>0</v>
      </c>
      <c r="R29" s="88"/>
      <c r="S29" s="74"/>
      <c r="T29" s="76">
        <f t="shared" si="15"/>
        <v>10</v>
      </c>
      <c r="U29" s="77">
        <f t="shared" si="13"/>
        <v>42730</v>
      </c>
      <c r="V29" s="77">
        <f t="shared" si="13"/>
        <v>42741</v>
      </c>
      <c r="W29" s="77">
        <f t="shared" si="13"/>
        <v>42748</v>
      </c>
      <c r="X29" s="95">
        <f t="shared" si="14"/>
        <v>13.6</v>
      </c>
      <c r="Y29" s="8"/>
      <c r="Z29" s="8"/>
      <c r="AA29" s="27"/>
    </row>
    <row r="30" spans="2:27" ht="15.75">
      <c r="B30" s="7"/>
      <c r="C30" s="90"/>
      <c r="D30" s="6"/>
      <c r="E30" s="6"/>
      <c r="F30" s="12" t="s">
        <v>26</v>
      </c>
      <c r="G30" s="6"/>
      <c r="H30" s="6"/>
      <c r="I30" s="16">
        <f>I133</f>
        <v>60000</v>
      </c>
      <c r="J30" s="16">
        <f>J133</f>
        <v>80000</v>
      </c>
      <c r="K30" s="16">
        <f>K133</f>
        <v>80000</v>
      </c>
      <c r="L30" s="29"/>
      <c r="M30" s="16">
        <f>M133</f>
        <v>0</v>
      </c>
      <c r="N30" s="16">
        <f>N133</f>
        <v>0</v>
      </c>
      <c r="O30" s="16">
        <f>O133</f>
        <v>0</v>
      </c>
      <c r="R30" s="88"/>
      <c r="S30" s="74"/>
      <c r="T30" s="76">
        <f>1+T29</f>
        <v>11</v>
      </c>
      <c r="U30" s="77">
        <f t="shared" si="13"/>
        <v>42744</v>
      </c>
      <c r="V30" s="77">
        <f t="shared" si="13"/>
        <v>42755</v>
      </c>
      <c r="W30" s="77">
        <f t="shared" si="13"/>
        <v>42762</v>
      </c>
      <c r="X30" s="95">
        <f t="shared" si="14"/>
        <v>14.6</v>
      </c>
      <c r="Y30" s="8"/>
      <c r="Z30" s="8"/>
      <c r="AA30" s="27"/>
    </row>
    <row r="31" spans="2:27" ht="15.75">
      <c r="B31" s="7"/>
      <c r="C31" s="90"/>
      <c r="D31" s="6"/>
      <c r="E31" s="6"/>
      <c r="F31" s="12" t="s">
        <v>106</v>
      </c>
      <c r="G31" s="6"/>
      <c r="H31" s="6"/>
      <c r="I31" s="16"/>
      <c r="J31" s="16">
        <f>+J138</f>
        <v>266890.70400000003</v>
      </c>
      <c r="K31" s="16">
        <f>+K138</f>
        <v>266890.70400000003</v>
      </c>
      <c r="L31" s="29"/>
      <c r="M31" s="16">
        <f>+M138</f>
        <v>36954.097476923082</v>
      </c>
      <c r="N31" s="16">
        <f>+N138</f>
        <v>37649.39</v>
      </c>
      <c r="O31" s="16">
        <f>+O138</f>
        <v>-695.29252307691968</v>
      </c>
      <c r="R31" s="88"/>
      <c r="S31" s="74"/>
      <c r="T31" s="76">
        <f t="shared" si="15"/>
        <v>12</v>
      </c>
      <c r="U31" s="77">
        <f t="shared" si="13"/>
        <v>42758</v>
      </c>
      <c r="V31" s="77">
        <f t="shared" si="13"/>
        <v>42769</v>
      </c>
      <c r="W31" s="77">
        <f t="shared" si="13"/>
        <v>42776</v>
      </c>
      <c r="X31" s="95">
        <f t="shared" si="14"/>
        <v>15.6</v>
      </c>
      <c r="Y31" s="8"/>
      <c r="Z31" s="8"/>
      <c r="AA31" s="27"/>
    </row>
    <row r="32" spans="2:27" ht="15.75">
      <c r="B32" s="7"/>
      <c r="C32" s="90"/>
      <c r="D32" s="6"/>
      <c r="E32" s="6"/>
      <c r="F32" s="6" t="s">
        <v>27</v>
      </c>
      <c r="G32" s="6"/>
      <c r="H32" s="6"/>
      <c r="I32" s="16">
        <f>I155</f>
        <v>1557922</v>
      </c>
      <c r="J32" s="16">
        <f>J155</f>
        <v>1221488.9640000002</v>
      </c>
      <c r="K32" s="16">
        <f>K155</f>
        <v>1221488.9640000002</v>
      </c>
      <c r="L32" s="29"/>
      <c r="M32" s="16">
        <f>M155</f>
        <v>194453.98475897437</v>
      </c>
      <c r="N32" s="16">
        <f>N155</f>
        <v>165090.34</v>
      </c>
      <c r="O32" s="16">
        <f>O155</f>
        <v>29363.644758974373</v>
      </c>
      <c r="R32" s="88"/>
      <c r="S32" s="74"/>
      <c r="T32" s="76">
        <f t="shared" si="15"/>
        <v>13</v>
      </c>
      <c r="U32" s="77">
        <f t="shared" si="13"/>
        <v>42772</v>
      </c>
      <c r="V32" s="77">
        <f t="shared" si="13"/>
        <v>42783</v>
      </c>
      <c r="W32" s="77">
        <f t="shared" si="13"/>
        <v>42790</v>
      </c>
      <c r="X32" s="95">
        <f t="shared" si="14"/>
        <v>16.600000000000001</v>
      </c>
      <c r="Y32" s="8"/>
      <c r="Z32" s="8"/>
      <c r="AA32" s="27"/>
    </row>
    <row r="33" spans="2:28" ht="15.75">
      <c r="B33" s="7"/>
      <c r="C33" s="90"/>
      <c r="D33" s="6"/>
      <c r="E33" s="6"/>
      <c r="F33" s="6" t="s">
        <v>28</v>
      </c>
      <c r="G33" s="6"/>
      <c r="H33" s="6"/>
      <c r="I33" s="16">
        <f>I161</f>
        <v>61790</v>
      </c>
      <c r="J33" s="16">
        <f>J161</f>
        <v>65000</v>
      </c>
      <c r="K33" s="16">
        <f>K161</f>
        <v>65000</v>
      </c>
      <c r="L33" s="29"/>
      <c r="M33" s="16">
        <f>M161</f>
        <v>8333.3333333333339</v>
      </c>
      <c r="N33" s="16">
        <f>N161</f>
        <v>2291</v>
      </c>
      <c r="O33" s="16">
        <f>O161</f>
        <v>6042.3333333333339</v>
      </c>
      <c r="R33" s="88"/>
      <c r="S33" s="74"/>
      <c r="T33" s="76">
        <f t="shared" si="15"/>
        <v>14</v>
      </c>
      <c r="U33" s="77">
        <f t="shared" si="13"/>
        <v>42786</v>
      </c>
      <c r="V33" s="77">
        <f t="shared" si="13"/>
        <v>42797</v>
      </c>
      <c r="W33" s="77">
        <f t="shared" si="13"/>
        <v>42804</v>
      </c>
      <c r="X33" s="95">
        <f t="shared" si="14"/>
        <v>17.600000000000001</v>
      </c>
      <c r="Y33" s="8"/>
      <c r="Z33" s="8"/>
      <c r="AA33" s="27"/>
    </row>
    <row r="34" spans="2:28" ht="15.75">
      <c r="B34" s="7"/>
      <c r="C34" s="90"/>
      <c r="D34" s="6"/>
      <c r="E34" s="6"/>
      <c r="F34" s="6" t="s">
        <v>29</v>
      </c>
      <c r="G34" s="6"/>
      <c r="H34" s="6"/>
      <c r="I34" s="16">
        <f>I169</f>
        <v>0</v>
      </c>
      <c r="J34" s="16">
        <f>J169</f>
        <v>205018.84</v>
      </c>
      <c r="K34" s="16">
        <f>K169</f>
        <v>205018.84</v>
      </c>
      <c r="L34" s="29"/>
      <c r="M34" s="16">
        <f>M169</f>
        <v>29583.333333333336</v>
      </c>
      <c r="N34" s="16">
        <f>N169</f>
        <v>22246.560000000001</v>
      </c>
      <c r="O34" s="16">
        <f>O169</f>
        <v>7336.7733333333344</v>
      </c>
      <c r="R34" s="88"/>
      <c r="S34" s="74"/>
      <c r="T34" s="76">
        <f t="shared" si="15"/>
        <v>15</v>
      </c>
      <c r="U34" s="77">
        <f t="shared" si="13"/>
        <v>42800</v>
      </c>
      <c r="V34" s="77">
        <f t="shared" si="13"/>
        <v>42811</v>
      </c>
      <c r="W34" s="77">
        <f t="shared" si="13"/>
        <v>42818</v>
      </c>
      <c r="X34" s="95">
        <f t="shared" si="14"/>
        <v>18.600000000000001</v>
      </c>
      <c r="Y34" s="8"/>
      <c r="Z34" s="8"/>
      <c r="AA34" s="27"/>
    </row>
    <row r="35" spans="2:28" ht="15.75">
      <c r="B35" s="7"/>
      <c r="C35" s="90"/>
      <c r="D35" s="6"/>
      <c r="E35" s="6"/>
      <c r="F35" s="6" t="s">
        <v>30</v>
      </c>
      <c r="G35" s="6"/>
      <c r="H35" s="6"/>
      <c r="I35" s="16">
        <f>I182</f>
        <v>559505</v>
      </c>
      <c r="J35" s="16">
        <f>J182</f>
        <v>995012.7855</v>
      </c>
      <c r="K35" s="16">
        <f>K182</f>
        <v>995012.7855</v>
      </c>
      <c r="L35" s="29"/>
      <c r="M35" s="16">
        <f>M182</f>
        <v>131490.9424</v>
      </c>
      <c r="N35" s="16">
        <f>N182</f>
        <v>85953.08</v>
      </c>
      <c r="O35" s="16">
        <f>O182</f>
        <v>45537.862399999998</v>
      </c>
      <c r="R35" s="88"/>
      <c r="S35" s="74"/>
      <c r="T35" s="76">
        <f t="shared" si="15"/>
        <v>16</v>
      </c>
      <c r="U35" s="77">
        <f t="shared" si="13"/>
        <v>42814</v>
      </c>
      <c r="V35" s="77">
        <f t="shared" si="13"/>
        <v>42825</v>
      </c>
      <c r="W35" s="77">
        <f t="shared" si="13"/>
        <v>42832</v>
      </c>
      <c r="X35" s="95">
        <f t="shared" si="14"/>
        <v>19.600000000000001</v>
      </c>
      <c r="Y35" s="8"/>
      <c r="Z35" s="8"/>
      <c r="AA35" s="27"/>
    </row>
    <row r="36" spans="2:28" ht="15.75">
      <c r="B36" s="7"/>
      <c r="C36" s="90"/>
      <c r="D36" s="6"/>
      <c r="E36" s="6"/>
      <c r="F36" s="12" t="s">
        <v>102</v>
      </c>
      <c r="G36" s="6"/>
      <c r="H36" s="6"/>
      <c r="I36" s="16">
        <f>I184</f>
        <v>0</v>
      </c>
      <c r="J36" s="16">
        <f>J184</f>
        <v>0</v>
      </c>
      <c r="K36" s="16">
        <f>K184</f>
        <v>0</v>
      </c>
      <c r="L36" s="29"/>
      <c r="M36" s="16">
        <f>M184</f>
        <v>0</v>
      </c>
      <c r="N36" s="16">
        <f>N184</f>
        <v>0</v>
      </c>
      <c r="O36" s="16">
        <f>O184</f>
        <v>0</v>
      </c>
      <c r="R36" s="88"/>
      <c r="S36" s="74"/>
      <c r="T36" s="76">
        <f t="shared" si="15"/>
        <v>17</v>
      </c>
      <c r="U36" s="77">
        <f t="shared" si="13"/>
        <v>42828</v>
      </c>
      <c r="V36" s="77">
        <f t="shared" si="13"/>
        <v>42839</v>
      </c>
      <c r="W36" s="77">
        <f t="shared" si="13"/>
        <v>42846</v>
      </c>
      <c r="X36" s="95">
        <f t="shared" si="14"/>
        <v>20.6</v>
      </c>
      <c r="Y36" s="8"/>
      <c r="Z36" s="8"/>
      <c r="AA36" s="27"/>
    </row>
    <row r="37" spans="2:28" ht="15.75">
      <c r="B37" s="7"/>
      <c r="C37" s="90"/>
      <c r="D37" s="6"/>
      <c r="E37" s="6"/>
      <c r="F37" s="12" t="s">
        <v>31</v>
      </c>
      <c r="G37" s="6"/>
      <c r="H37" s="6"/>
      <c r="I37" s="16">
        <f>I190</f>
        <v>40500</v>
      </c>
      <c r="J37" s="16">
        <f>J190</f>
        <v>125000</v>
      </c>
      <c r="K37" s="16">
        <f>K190</f>
        <v>125000</v>
      </c>
      <c r="L37" s="29"/>
      <c r="M37" s="16">
        <f>M190</f>
        <v>15833.333333333334</v>
      </c>
      <c r="N37" s="16">
        <f>N190</f>
        <v>3151.1</v>
      </c>
      <c r="O37" s="16">
        <f>O190</f>
        <v>12682.233333333334</v>
      </c>
      <c r="R37" s="88"/>
      <c r="S37" s="74"/>
      <c r="T37" s="76">
        <f t="shared" si="15"/>
        <v>18</v>
      </c>
      <c r="U37" s="77">
        <f t="shared" si="13"/>
        <v>42842</v>
      </c>
      <c r="V37" s="77">
        <f t="shared" si="13"/>
        <v>42853</v>
      </c>
      <c r="W37" s="77">
        <f t="shared" si="13"/>
        <v>42860</v>
      </c>
      <c r="X37" s="95">
        <f t="shared" si="14"/>
        <v>21.6</v>
      </c>
      <c r="Y37" s="8"/>
      <c r="Z37" s="8"/>
      <c r="AA37" s="27"/>
      <c r="AB37" s="27"/>
    </row>
    <row r="38" spans="2:28" ht="15.75">
      <c r="B38" s="7"/>
      <c r="C38" s="90"/>
      <c r="D38" s="6"/>
      <c r="E38" s="7" t="s">
        <v>32</v>
      </c>
      <c r="F38" s="6"/>
      <c r="G38" s="6"/>
      <c r="H38" s="6"/>
      <c r="I38" s="16"/>
      <c r="J38" s="16"/>
      <c r="K38" s="16"/>
      <c r="L38" s="29"/>
      <c r="M38" s="16"/>
      <c r="N38" s="16"/>
      <c r="O38" s="16"/>
      <c r="R38" s="88"/>
      <c r="S38" s="74"/>
      <c r="T38" s="76">
        <f t="shared" si="15"/>
        <v>19</v>
      </c>
      <c r="U38" s="77">
        <f t="shared" ref="U38:W45" si="16">+U37+14</f>
        <v>42856</v>
      </c>
      <c r="V38" s="77">
        <f t="shared" si="16"/>
        <v>42867</v>
      </c>
      <c r="W38" s="77">
        <f t="shared" si="16"/>
        <v>42874</v>
      </c>
      <c r="X38" s="95">
        <f t="shared" si="14"/>
        <v>22.6</v>
      </c>
      <c r="Y38" s="8"/>
      <c r="Z38" s="8"/>
      <c r="AA38" s="27"/>
    </row>
    <row r="39" spans="2:28" ht="15.75">
      <c r="B39" s="7"/>
      <c r="C39" s="90"/>
      <c r="D39" s="6"/>
      <c r="E39" s="7"/>
      <c r="F39" s="6" t="s">
        <v>33</v>
      </c>
      <c r="G39" s="6"/>
      <c r="H39" s="6"/>
      <c r="I39" s="16">
        <f>I199</f>
        <v>27124</v>
      </c>
      <c r="J39" s="16">
        <f>J199</f>
        <v>67912.58</v>
      </c>
      <c r="K39" s="16">
        <f>K199</f>
        <v>67912.58</v>
      </c>
      <c r="L39" s="29"/>
      <c r="M39" s="16">
        <f>M199</f>
        <v>0</v>
      </c>
      <c r="N39" s="16">
        <f>N199</f>
        <v>0</v>
      </c>
      <c r="O39" s="16">
        <f>O199</f>
        <v>0</v>
      </c>
      <c r="R39" s="88"/>
      <c r="S39" s="74"/>
      <c r="T39" s="76">
        <f t="shared" si="15"/>
        <v>20</v>
      </c>
      <c r="U39" s="77">
        <f t="shared" si="16"/>
        <v>42870</v>
      </c>
      <c r="V39" s="77">
        <f t="shared" si="16"/>
        <v>42881</v>
      </c>
      <c r="W39" s="77">
        <f t="shared" si="16"/>
        <v>42888</v>
      </c>
      <c r="X39" s="95">
        <f t="shared" si="14"/>
        <v>23.6</v>
      </c>
      <c r="Y39" s="8"/>
      <c r="Z39" s="8"/>
      <c r="AA39" s="27"/>
    </row>
    <row r="40" spans="2:28" ht="15.75">
      <c r="B40" s="7"/>
      <c r="C40" s="90"/>
      <c r="D40" s="6"/>
      <c r="E40" s="7"/>
      <c r="F40" s="6" t="s">
        <v>84</v>
      </c>
      <c r="G40" s="6"/>
      <c r="H40" s="6"/>
      <c r="I40" s="16">
        <f>I205</f>
        <v>0</v>
      </c>
      <c r="J40" s="16">
        <f>J205</f>
        <v>96859.6005</v>
      </c>
      <c r="K40" s="16">
        <f>K205</f>
        <v>96859.6005</v>
      </c>
      <c r="L40" s="29"/>
      <c r="M40" s="16">
        <f>M205</f>
        <v>1903.4658461538459</v>
      </c>
      <c r="N40" s="16">
        <f>N205</f>
        <v>400.29</v>
      </c>
      <c r="O40" s="16">
        <f>O205</f>
        <v>1503.1758461538459</v>
      </c>
      <c r="R40" s="88"/>
      <c r="S40" s="74"/>
      <c r="T40" s="76">
        <f t="shared" si="15"/>
        <v>21</v>
      </c>
      <c r="U40" s="77">
        <f t="shared" si="16"/>
        <v>42884</v>
      </c>
      <c r="V40" s="77">
        <f t="shared" si="16"/>
        <v>42895</v>
      </c>
      <c r="W40" s="77">
        <f t="shared" si="16"/>
        <v>42902</v>
      </c>
      <c r="X40" s="95">
        <f t="shared" si="14"/>
        <v>24.6</v>
      </c>
      <c r="Y40" s="8"/>
      <c r="Z40" s="8"/>
      <c r="AA40" s="27"/>
    </row>
    <row r="41" spans="2:28" ht="15.75">
      <c r="B41" s="7"/>
      <c r="C41" s="90"/>
      <c r="D41" s="6"/>
      <c r="E41" s="6"/>
      <c r="G41" s="1" t="s">
        <v>12</v>
      </c>
      <c r="H41" s="6"/>
      <c r="I41" s="17">
        <f>SUM(I21:I40)</f>
        <v>7494955</v>
      </c>
      <c r="J41" s="17">
        <f>SUM(J21:J40)</f>
        <v>7567328.8612500001</v>
      </c>
      <c r="K41" s="17">
        <f>SUM(K21:K40)</f>
        <v>7567328.8612500001</v>
      </c>
      <c r="L41" s="29"/>
      <c r="M41" s="17">
        <f>SUM(M21:M40)</f>
        <v>660382.28136089747</v>
      </c>
      <c r="N41" s="17">
        <f>SUM(N21:N40)</f>
        <v>550903.56000000006</v>
      </c>
      <c r="O41" s="17">
        <f>SUM(O21:O40)</f>
        <v>109478.72136089744</v>
      </c>
      <c r="R41" s="88"/>
      <c r="S41" s="74"/>
      <c r="T41" s="76">
        <f t="shared" si="15"/>
        <v>22</v>
      </c>
      <c r="U41" s="77">
        <f t="shared" si="16"/>
        <v>42898</v>
      </c>
      <c r="V41" s="77">
        <f t="shared" si="16"/>
        <v>42909</v>
      </c>
      <c r="W41" s="77">
        <f t="shared" si="16"/>
        <v>42916</v>
      </c>
      <c r="X41" s="95">
        <f t="shared" si="14"/>
        <v>25.6</v>
      </c>
      <c r="Y41" s="8"/>
      <c r="Z41" s="8"/>
      <c r="AA41" s="27"/>
    </row>
    <row r="42" spans="2:28" ht="15.75">
      <c r="B42" s="7"/>
      <c r="C42" s="90"/>
      <c r="D42" s="6"/>
      <c r="E42" s="6"/>
      <c r="F42" s="6"/>
      <c r="G42" s="6"/>
      <c r="H42" s="6"/>
      <c r="I42" s="16"/>
      <c r="J42" s="31"/>
      <c r="K42" s="31"/>
      <c r="L42" s="29"/>
      <c r="M42" s="31"/>
      <c r="N42" s="31"/>
      <c r="O42" s="31"/>
      <c r="R42" s="88"/>
      <c r="S42" s="74"/>
      <c r="T42" s="76">
        <f t="shared" si="15"/>
        <v>23</v>
      </c>
      <c r="U42" s="77">
        <f t="shared" si="16"/>
        <v>42912</v>
      </c>
      <c r="V42" s="77">
        <f t="shared" si="16"/>
        <v>42923</v>
      </c>
      <c r="W42" s="77">
        <f t="shared" si="16"/>
        <v>42930</v>
      </c>
      <c r="X42" s="95">
        <v>26</v>
      </c>
      <c r="Y42" s="8"/>
      <c r="Z42" s="8"/>
      <c r="AA42" s="27"/>
    </row>
    <row r="43" spans="2:28" ht="15.75">
      <c r="B43" s="7"/>
      <c r="C43" s="90"/>
      <c r="D43" s="6"/>
      <c r="E43" s="7" t="s">
        <v>34</v>
      </c>
      <c r="I43" s="32">
        <f>I17-I41</f>
        <v>-139439</v>
      </c>
      <c r="J43" s="32">
        <f>J17-J41</f>
        <v>71302.388749999925</v>
      </c>
      <c r="K43" s="32">
        <f>K17-K41</f>
        <v>71302.388749999925</v>
      </c>
      <c r="L43" s="29"/>
      <c r="M43" s="32">
        <f>M17-M41</f>
        <v>600431.26030576904</v>
      </c>
      <c r="N43" s="32">
        <f>N17-N41</f>
        <v>739784.90999999968</v>
      </c>
      <c r="O43" s="32">
        <f>+N43-M43</f>
        <v>139353.64969423064</v>
      </c>
      <c r="R43" s="88"/>
      <c r="S43" s="74"/>
      <c r="T43" s="69">
        <f t="shared" si="15"/>
        <v>24</v>
      </c>
      <c r="U43" s="77">
        <f t="shared" si="16"/>
        <v>42926</v>
      </c>
      <c r="V43" s="77">
        <f t="shared" si="16"/>
        <v>42937</v>
      </c>
      <c r="W43" s="77">
        <f t="shared" si="16"/>
        <v>42944</v>
      </c>
      <c r="X43" s="96"/>
      <c r="Y43" s="88"/>
      <c r="Z43" s="88"/>
    </row>
    <row r="44" spans="2:28" ht="15.75">
      <c r="B44" s="7"/>
      <c r="C44" s="90"/>
      <c r="L44" s="29"/>
      <c r="R44" s="23"/>
      <c r="S44" s="74"/>
      <c r="T44" s="69">
        <f>1+T43</f>
        <v>25</v>
      </c>
      <c r="U44" s="77">
        <f t="shared" si="16"/>
        <v>42940</v>
      </c>
      <c r="V44" s="77">
        <f t="shared" si="16"/>
        <v>42951</v>
      </c>
      <c r="W44" s="77">
        <f t="shared" si="16"/>
        <v>42958</v>
      </c>
      <c r="X44" s="97"/>
      <c r="Y44" s="88"/>
      <c r="Z44" s="88"/>
    </row>
    <row r="45" spans="2:28" ht="16.5" thickBot="1">
      <c r="B45" s="7"/>
      <c r="C45" s="13"/>
      <c r="D45" s="9"/>
      <c r="E45" s="9"/>
      <c r="F45" s="9"/>
      <c r="G45" s="9"/>
      <c r="H45" s="9"/>
      <c r="I45" s="16"/>
      <c r="J45" s="31"/>
      <c r="K45" s="31"/>
      <c r="L45" s="29"/>
      <c r="M45" s="31"/>
      <c r="N45" s="31"/>
      <c r="O45" s="31"/>
      <c r="R45" s="23"/>
      <c r="S45" s="80"/>
      <c r="T45" s="98">
        <f>1+T44</f>
        <v>26</v>
      </c>
      <c r="U45" s="99">
        <f t="shared" si="16"/>
        <v>42954</v>
      </c>
      <c r="V45" s="99">
        <f t="shared" si="16"/>
        <v>42965</v>
      </c>
      <c r="W45" s="99">
        <f t="shared" si="16"/>
        <v>42972</v>
      </c>
      <c r="X45" s="100"/>
      <c r="Y45" s="88"/>
      <c r="Z45" s="88"/>
    </row>
    <row r="46" spans="2:28" ht="15">
      <c r="B46" s="14"/>
      <c r="C46" s="14" t="s">
        <v>35</v>
      </c>
      <c r="D46" s="14"/>
      <c r="E46" s="14"/>
      <c r="F46" s="14"/>
      <c r="G46" s="14"/>
      <c r="H46" s="9"/>
      <c r="I46" s="15"/>
      <c r="J46" s="15"/>
      <c r="K46" s="15"/>
      <c r="L46" s="29"/>
      <c r="M46" s="15"/>
      <c r="N46" s="15"/>
      <c r="O46" s="15"/>
      <c r="R46" s="23"/>
    </row>
    <row r="47" spans="2:28" ht="15">
      <c r="B47" s="14"/>
      <c r="C47" s="13"/>
      <c r="D47" s="9"/>
      <c r="E47" s="14" t="s">
        <v>36</v>
      </c>
      <c r="F47" s="9"/>
      <c r="G47" s="9"/>
      <c r="H47" s="9"/>
      <c r="I47" s="16" t="e">
        <f>+I83+I92+I99+I108+I140+I171+I196+I117+I121+I112+#REF!+I163+I157</f>
        <v>#REF!</v>
      </c>
      <c r="J47" s="16">
        <f>+J83+J92+J99+J108+J140+J171+J196+J117+J121+J112+J163+J157+J136+J202</f>
        <v>3473398.4</v>
      </c>
      <c r="K47" s="16">
        <f>+K83+K92+K99+K108+K140+K171+K196+K117+K121+K112+K163+K157+K136+K202</f>
        <v>3473398.4</v>
      </c>
      <c r="L47" s="29"/>
      <c r="M47" s="16">
        <f t="shared" ref="M47:O48" si="17">+M83+M92+M99+M108+M140+M171+M196+M117+M121+M112+M163+M157+M136+M202</f>
        <v>100931.15384615384</v>
      </c>
      <c r="N47" s="16">
        <f t="shared" si="17"/>
        <v>70729.400000000009</v>
      </c>
      <c r="O47" s="16">
        <f t="shared" si="17"/>
        <v>30201.75384615385</v>
      </c>
      <c r="R47" s="23"/>
    </row>
    <row r="48" spans="2:28">
      <c r="B48" s="14"/>
      <c r="C48" s="13"/>
      <c r="D48" s="9"/>
      <c r="E48" s="14" t="s">
        <v>37</v>
      </c>
      <c r="F48" s="9"/>
      <c r="G48" s="9"/>
      <c r="H48" s="9"/>
      <c r="I48" s="16" t="e">
        <f>+I84+I93+I100+I109+I141+I172+I198+I118+I122+I113+#REF!+I164+I158</f>
        <v>#REF!</v>
      </c>
      <c r="J48" s="16">
        <f>+J84+J93+J100+J109+J141+J172+J197+J118+J122+J113+J164+J158+J137+J203</f>
        <v>1477889.0672500001</v>
      </c>
      <c r="K48" s="16">
        <f>+K84+K93+K100+K109+K141+K172+K197+K118+K122+K113+K164+K158+K137+K203</f>
        <v>1477889.0672500001</v>
      </c>
      <c r="L48" s="29"/>
      <c r="M48" s="16">
        <f t="shared" si="17"/>
        <v>112155.26084807693</v>
      </c>
      <c r="N48" s="16">
        <f t="shared" si="17"/>
        <v>82303.45</v>
      </c>
      <c r="O48" s="16">
        <f t="shared" si="17"/>
        <v>29851.810848076926</v>
      </c>
    </row>
    <row r="49" spans="1:15">
      <c r="B49" s="14"/>
      <c r="C49" s="13"/>
      <c r="D49" s="9"/>
      <c r="E49" s="14" t="s">
        <v>38</v>
      </c>
      <c r="F49" s="9"/>
      <c r="G49" s="9"/>
      <c r="H49" s="9"/>
      <c r="I49" s="16">
        <f>+I94+I95+I114+I131+I132++I159+I165+I187+I142+I143+I144+I127</f>
        <v>1221502</v>
      </c>
      <c r="J49" s="16">
        <f>+J94+J95+J114+J131+J132++J159+J165+J187+J142+J143+J144+J127</f>
        <v>1032750</v>
      </c>
      <c r="K49" s="16">
        <f>+K94+K95+K114+K131+K132++K159+K165+K187+K142+K143+K144+K127</f>
        <v>1032750</v>
      </c>
      <c r="L49" s="29"/>
      <c r="M49" s="16">
        <f>+M94+M95+M114+M131+M132++M159+M165+M187+M142+M143+M144+M127</f>
        <v>202341.66666666669</v>
      </c>
      <c r="N49" s="16">
        <f>+N94+N95+N114+N131+N132++N159+N165+N187+N142+N143+N144+N127</f>
        <v>184368.84</v>
      </c>
      <c r="O49" s="16">
        <f>+O94+O95+O114+O131+O132++O159+O165+O187+O142+O143+O144+O127</f>
        <v>17972.826666666668</v>
      </c>
    </row>
    <row r="50" spans="1:15">
      <c r="B50" s="14"/>
      <c r="C50" s="13"/>
      <c r="D50" s="9"/>
      <c r="E50" s="14" t="s">
        <v>30</v>
      </c>
      <c r="F50" s="9"/>
      <c r="G50" s="9"/>
      <c r="H50" s="9"/>
      <c r="I50" s="16">
        <f>+I174+I175+I176+I177+I178+I179+I180+I184+I173</f>
        <v>559505</v>
      </c>
      <c r="J50" s="16">
        <f>+J174+J175+J176+J177+J178+J179+J180+J184+J173</f>
        <v>870525.20149999997</v>
      </c>
      <c r="K50" s="16">
        <f>+K174+K175+K176+K177+K178+K179+K180+K184+K173</f>
        <v>870525.20149999997</v>
      </c>
      <c r="L50" s="29"/>
      <c r="M50" s="16">
        <f>+M174+M175+M176+M177+M178+M179+M180+M184+M173</f>
        <v>114254.2</v>
      </c>
      <c r="N50" s="16">
        <f>+N174+N175+N176+N177+N178+N179+N180+N184+N173</f>
        <v>76423.319999999992</v>
      </c>
      <c r="O50" s="16">
        <f>+O174+O175+O176+O177+O178+O179+O180+O184+O173</f>
        <v>37830.880000000005</v>
      </c>
    </row>
    <row r="51" spans="1:15">
      <c r="B51" s="14"/>
      <c r="C51" s="13"/>
      <c r="D51" s="9"/>
      <c r="E51" s="14" t="s">
        <v>39</v>
      </c>
      <c r="F51" s="9"/>
      <c r="G51" s="9"/>
      <c r="H51" s="9"/>
      <c r="I51" s="16">
        <f>+I85+I146+I147+I148+I149+I150+I167+I168+I188+I204+I166+I128</f>
        <v>29600</v>
      </c>
      <c r="J51" s="16">
        <f>+J85+J146+J147+J148+J149+J150+J167+J168+J188+J204+J166+J128</f>
        <v>234366.1925</v>
      </c>
      <c r="K51" s="16">
        <f>+K85+K146+K147+K148+K149+K150+K167+K168+K188+K204+K166+K128</f>
        <v>234366.1925</v>
      </c>
      <c r="L51" s="29"/>
      <c r="M51" s="16">
        <f>+M85+M146+M147+M148+M149+M150+M167+M168+M188+M204+M166+M128</f>
        <v>37250</v>
      </c>
      <c r="N51" s="16">
        <f>+N85+N146+N147+N148+N149+N150+N167+N168+N188+N204+N166+N128</f>
        <v>34346.720000000001</v>
      </c>
      <c r="O51" s="16">
        <f>+O85+O146+O147+O148+O149+O150+O167+O168+O188+O204+O166+O128</f>
        <v>2903.2799999999997</v>
      </c>
    </row>
    <row r="52" spans="1:15">
      <c r="B52" s="14"/>
      <c r="C52" s="13"/>
      <c r="D52" s="9"/>
      <c r="E52" s="14" t="s">
        <v>40</v>
      </c>
      <c r="F52" s="9"/>
      <c r="G52" s="9"/>
      <c r="H52" s="9"/>
      <c r="I52" s="16">
        <f>+I86+I87+I101+I123+I152+I153+I160+I189+I96</f>
        <v>240602</v>
      </c>
      <c r="J52" s="16">
        <f>+J86+J87+J101+J123+J152+J153+J160+J189+J96+J198</f>
        <v>353400</v>
      </c>
      <c r="K52" s="16">
        <f>+K86+K87+K101+K123+K152+K153+K160+K189+K96+K198</f>
        <v>353400</v>
      </c>
      <c r="L52" s="29"/>
      <c r="M52" s="16">
        <f>+M86+M87+M101+M123+M152+M153+M160+M189+M96+M198</f>
        <v>93450</v>
      </c>
      <c r="N52" s="16">
        <f>+N86+N87+N101+N123+N152+N153+N160+N189+N96+N198</f>
        <v>102731.82999999999</v>
      </c>
      <c r="O52" s="16">
        <f>+O86+O87+O101+O123+O152+O153+O160+O189+O96+O198</f>
        <v>-9281.8299999999908</v>
      </c>
    </row>
    <row r="53" spans="1:15">
      <c r="B53" s="14"/>
      <c r="C53" s="13"/>
      <c r="D53" s="9"/>
      <c r="E53" s="14" t="s">
        <v>41</v>
      </c>
      <c r="F53" s="9"/>
      <c r="G53" s="9"/>
      <c r="H53" s="9"/>
      <c r="I53" s="16">
        <f>+I88+I89+I154</f>
        <v>102765</v>
      </c>
      <c r="J53" s="16">
        <f>+J88+J89+J154</f>
        <v>125000</v>
      </c>
      <c r="K53" s="16">
        <f>+K88+K89+K154</f>
        <v>125000</v>
      </c>
      <c r="L53" s="29"/>
      <c r="M53" s="16">
        <f>+M88+M89+M154</f>
        <v>0</v>
      </c>
      <c r="N53" s="16">
        <f>+N88+N89+N154</f>
        <v>0</v>
      </c>
      <c r="O53" s="16">
        <f>+O88+O89+O154</f>
        <v>0</v>
      </c>
    </row>
    <row r="54" spans="1:15">
      <c r="B54" s="7"/>
      <c r="C54" s="13"/>
      <c r="D54" s="9"/>
      <c r="E54" s="9"/>
      <c r="F54" s="9"/>
      <c r="G54" s="9"/>
      <c r="H54" s="9"/>
      <c r="I54" s="17" t="e">
        <f t="shared" ref="I54" si="18">SUM(I47:I53)</f>
        <v>#REF!</v>
      </c>
      <c r="J54" s="18">
        <f>SUM(J47:J53)</f>
        <v>7567328.8612499991</v>
      </c>
      <c r="K54" s="18">
        <f>SUM(K47:K53)</f>
        <v>7567328.8612499991</v>
      </c>
      <c r="L54" s="29"/>
      <c r="M54" s="18">
        <f>SUM(M47:M53)</f>
        <v>660382.28136089747</v>
      </c>
      <c r="N54" s="18">
        <f>SUM(N47:N53)</f>
        <v>550903.55999999994</v>
      </c>
      <c r="O54" s="18">
        <f>SUM(O47:O53)</f>
        <v>109478.72136089747</v>
      </c>
    </row>
    <row r="55" spans="1:15">
      <c r="B55" s="20"/>
      <c r="C55" s="20"/>
      <c r="D55" s="20"/>
      <c r="E55" s="20"/>
      <c r="F55" s="20"/>
      <c r="G55" s="20"/>
      <c r="H55" s="20"/>
      <c r="I55" s="33" t="e">
        <f t="shared" ref="I55:O55" si="19">+I41-I54</f>
        <v>#REF!</v>
      </c>
      <c r="J55" s="33">
        <f t="shared" si="19"/>
        <v>0</v>
      </c>
      <c r="K55" s="33">
        <f t="shared" si="19"/>
        <v>0</v>
      </c>
      <c r="L55" s="33">
        <f t="shared" si="19"/>
        <v>0</v>
      </c>
      <c r="M55" s="33">
        <f>+M41-M54</f>
        <v>0</v>
      </c>
      <c r="N55" s="33">
        <f t="shared" si="19"/>
        <v>0</v>
      </c>
      <c r="O55" s="33">
        <f t="shared" si="19"/>
        <v>0</v>
      </c>
    </row>
    <row r="56" spans="1:15">
      <c r="B56" s="6"/>
      <c r="C56" s="6"/>
      <c r="D56" s="6"/>
      <c r="E56" s="6"/>
      <c r="F56" s="6"/>
      <c r="G56" s="6"/>
      <c r="H56" s="6"/>
      <c r="I56" s="34"/>
      <c r="J56" s="34">
        <f>+J41-J54</f>
        <v>0</v>
      </c>
      <c r="K56" s="34">
        <f>+K41-K54</f>
        <v>0</v>
      </c>
      <c r="L56" s="29"/>
      <c r="M56" s="30"/>
      <c r="N56" s="30"/>
      <c r="O56" s="30"/>
    </row>
    <row r="57" spans="1:15">
      <c r="B57" s="1" t="s">
        <v>42</v>
      </c>
      <c r="C57" s="6"/>
      <c r="D57" s="6"/>
      <c r="E57" s="6"/>
      <c r="F57" s="6"/>
      <c r="G57" s="6"/>
      <c r="H57" s="6"/>
      <c r="I57" s="35"/>
      <c r="J57" s="36"/>
      <c r="K57" s="36"/>
      <c r="L57" s="29"/>
      <c r="M57" s="30"/>
      <c r="N57" s="30"/>
      <c r="O57" s="30"/>
    </row>
    <row r="58" spans="1:15">
      <c r="B58" s="6"/>
      <c r="C58" s="6"/>
      <c r="D58" s="6"/>
      <c r="E58" s="6"/>
      <c r="F58" s="6"/>
      <c r="G58" s="6"/>
      <c r="H58" s="6"/>
      <c r="I58" s="34"/>
      <c r="J58" s="36"/>
      <c r="K58" s="36"/>
      <c r="L58" s="29"/>
      <c r="M58" s="30"/>
      <c r="N58" s="30"/>
      <c r="O58" s="30"/>
    </row>
    <row r="59" spans="1:15">
      <c r="B59" s="7" t="s">
        <v>6</v>
      </c>
      <c r="C59" s="6"/>
      <c r="D59" s="6"/>
      <c r="E59" s="6"/>
      <c r="F59" s="6"/>
      <c r="G59" s="6"/>
      <c r="H59" s="6"/>
      <c r="I59" s="34"/>
      <c r="J59" s="35"/>
      <c r="K59" s="35"/>
      <c r="L59" s="29"/>
      <c r="M59" s="30"/>
      <c r="N59" s="30"/>
      <c r="O59" s="30"/>
    </row>
    <row r="60" spans="1:15">
      <c r="B60" s="7"/>
      <c r="C60" s="6"/>
      <c r="D60" s="6"/>
      <c r="E60" s="6"/>
      <c r="F60" s="6"/>
      <c r="G60" s="6"/>
      <c r="H60" s="6"/>
      <c r="I60" s="34"/>
      <c r="J60" s="35"/>
      <c r="K60" s="35"/>
      <c r="L60" s="29"/>
      <c r="M60" s="30"/>
      <c r="N60" s="30"/>
      <c r="O60" s="30"/>
    </row>
    <row r="61" spans="1:15">
      <c r="B61" s="7"/>
      <c r="C61" s="1" t="s">
        <v>15</v>
      </c>
      <c r="D61" s="6"/>
      <c r="E61" s="6"/>
      <c r="F61" s="6"/>
      <c r="G61" s="6"/>
      <c r="H61" s="6"/>
      <c r="I61" s="34"/>
      <c r="J61" s="37"/>
      <c r="K61" s="37"/>
      <c r="L61" s="29"/>
      <c r="M61" s="30"/>
      <c r="N61" s="30"/>
      <c r="O61" s="30"/>
    </row>
    <row r="62" spans="1:15">
      <c r="A62" s="26">
        <v>1</v>
      </c>
      <c r="D62" s="6" t="s">
        <v>17</v>
      </c>
      <c r="E62" s="6"/>
      <c r="F62" s="6"/>
      <c r="G62" s="6"/>
      <c r="H62" s="6"/>
      <c r="I62" s="19">
        <v>5082935</v>
      </c>
      <c r="J62" s="38">
        <v>4957068.8</v>
      </c>
      <c r="K62" s="38">
        <f>+J62</f>
        <v>4957068.8</v>
      </c>
      <c r="L62" s="29"/>
      <c r="M62" s="30">
        <f>+K62/12*2</f>
        <v>826178.1333333333</v>
      </c>
      <c r="N62" s="30">
        <v>885463.44</v>
      </c>
      <c r="O62" s="30">
        <f>+N62-M62</f>
        <v>59285.306666666642</v>
      </c>
    </row>
    <row r="63" spans="1:15">
      <c r="A63" s="26">
        <f>+A62+1</f>
        <v>2</v>
      </c>
      <c r="D63" s="10" t="s">
        <v>43</v>
      </c>
      <c r="E63" s="6"/>
      <c r="F63" s="6"/>
      <c r="G63" s="6"/>
      <c r="H63" s="6"/>
      <c r="I63" s="39">
        <v>1622181</v>
      </c>
      <c r="J63" s="35">
        <v>2016193.2</v>
      </c>
      <c r="K63" s="35">
        <f>+J63</f>
        <v>2016193.2</v>
      </c>
      <c r="L63" s="29"/>
      <c r="M63" s="30">
        <f>+K63/12*2</f>
        <v>336032.2</v>
      </c>
      <c r="N63" s="30">
        <v>324572.7</v>
      </c>
      <c r="O63" s="30">
        <f>+N63-M63</f>
        <v>-11459.5</v>
      </c>
    </row>
    <row r="64" spans="1:15">
      <c r="A64" s="26">
        <f t="shared" ref="A64:A127" si="20">+A63+1</f>
        <v>3</v>
      </c>
      <c r="D64" s="6"/>
      <c r="E64" s="6"/>
      <c r="F64" s="6"/>
      <c r="G64" s="6"/>
      <c r="H64" s="6"/>
      <c r="I64" s="40">
        <f t="shared" ref="I64:K64" si="21">SUM(I62:I63)</f>
        <v>6705116</v>
      </c>
      <c r="J64" s="40">
        <f t="shared" si="21"/>
        <v>6973262</v>
      </c>
      <c r="K64" s="40">
        <f t="shared" si="21"/>
        <v>6973262</v>
      </c>
      <c r="L64" s="29"/>
      <c r="M64" s="40">
        <f t="shared" ref="M64:O64" si="22">SUM(M62:M63)</f>
        <v>1162210.3333333333</v>
      </c>
      <c r="N64" s="40">
        <f t="shared" si="22"/>
        <v>1210036.1399999999</v>
      </c>
      <c r="O64" s="40">
        <f t="shared" si="22"/>
        <v>47825.806666666642</v>
      </c>
    </row>
    <row r="65" spans="1:15">
      <c r="A65" s="26">
        <f t="shared" si="20"/>
        <v>4</v>
      </c>
      <c r="B65" s="7"/>
      <c r="C65" s="1" t="s">
        <v>16</v>
      </c>
      <c r="D65" s="6"/>
      <c r="E65" s="6"/>
      <c r="F65" s="6"/>
      <c r="G65" s="6"/>
      <c r="H65" s="6"/>
      <c r="I65" s="39"/>
      <c r="J65" s="35"/>
      <c r="K65" s="35"/>
      <c r="L65" s="29"/>
      <c r="M65" s="30"/>
      <c r="N65" s="30"/>
      <c r="O65" s="30"/>
    </row>
    <row r="66" spans="1:15">
      <c r="A66" s="26">
        <f t="shared" si="20"/>
        <v>5</v>
      </c>
      <c r="B66" s="7"/>
      <c r="C66" s="6"/>
      <c r="D66" s="6" t="s">
        <v>44</v>
      </c>
      <c r="E66" s="6"/>
      <c r="F66" s="6"/>
      <c r="G66" s="6"/>
      <c r="H66" s="6"/>
      <c r="I66" s="41">
        <v>69000</v>
      </c>
      <c r="J66" s="41">
        <v>63750</v>
      </c>
      <c r="K66" s="41">
        <f>+J66</f>
        <v>63750</v>
      </c>
      <c r="L66" s="29"/>
      <c r="M66" s="30">
        <v>0</v>
      </c>
      <c r="N66" s="30">
        <v>0</v>
      </c>
      <c r="O66" s="30">
        <f>+N66-M66</f>
        <v>0</v>
      </c>
    </row>
    <row r="67" spans="1:15">
      <c r="A67" s="26">
        <f t="shared" si="20"/>
        <v>6</v>
      </c>
      <c r="B67" s="7"/>
      <c r="C67" s="6"/>
      <c r="D67" s="6" t="s">
        <v>103</v>
      </c>
      <c r="E67" s="6"/>
      <c r="F67" s="6"/>
      <c r="G67" s="6"/>
      <c r="H67" s="6"/>
      <c r="I67" s="24">
        <v>15500</v>
      </c>
      <c r="J67" s="41">
        <v>5000</v>
      </c>
      <c r="K67" s="41">
        <f>+J67</f>
        <v>5000</v>
      </c>
      <c r="L67" s="29"/>
      <c r="M67" s="30">
        <f t="shared" ref="M67" si="23">+K67/12*2</f>
        <v>833.33333333333337</v>
      </c>
      <c r="N67" s="30">
        <f>2.49+1865.16+662</f>
        <v>2529.65</v>
      </c>
      <c r="O67" s="30">
        <f>+N67-M67</f>
        <v>1696.3166666666666</v>
      </c>
    </row>
    <row r="68" spans="1:15">
      <c r="A68" s="26">
        <f t="shared" si="20"/>
        <v>7</v>
      </c>
      <c r="B68" s="7"/>
      <c r="C68" s="6"/>
      <c r="D68" s="6"/>
      <c r="E68" s="6"/>
      <c r="F68" s="6"/>
      <c r="G68" s="6"/>
      <c r="H68" s="6"/>
      <c r="I68" s="42">
        <f t="shared" ref="I68" si="24">SUM(I66:I67)</f>
        <v>84500</v>
      </c>
      <c r="J68" s="42">
        <f t="shared" ref="J68:K68" si="25">SUM(J66:J67)</f>
        <v>68750</v>
      </c>
      <c r="K68" s="42">
        <f t="shared" si="25"/>
        <v>68750</v>
      </c>
      <c r="L68" s="29"/>
      <c r="M68" s="42">
        <f t="shared" ref="M68:O68" si="26">SUM(M66:M67)</f>
        <v>833.33333333333337</v>
      </c>
      <c r="N68" s="42">
        <f t="shared" si="26"/>
        <v>2529.65</v>
      </c>
      <c r="O68" s="42">
        <f t="shared" si="26"/>
        <v>1696.3166666666666</v>
      </c>
    </row>
    <row r="69" spans="1:15">
      <c r="A69" s="26">
        <f t="shared" si="20"/>
        <v>8</v>
      </c>
      <c r="B69" s="7"/>
      <c r="C69" s="7" t="s">
        <v>45</v>
      </c>
      <c r="D69" s="6"/>
      <c r="E69" s="6"/>
      <c r="F69" s="6"/>
      <c r="G69" s="6"/>
      <c r="H69" s="6"/>
      <c r="I69" s="39"/>
      <c r="J69" s="35"/>
      <c r="K69" s="35"/>
      <c r="L69" s="29"/>
      <c r="M69" s="30"/>
      <c r="N69" s="30"/>
      <c r="O69" s="30"/>
    </row>
    <row r="70" spans="1:15">
      <c r="A70" s="26">
        <f t="shared" si="20"/>
        <v>9</v>
      </c>
      <c r="B70" s="7"/>
      <c r="C70" s="7"/>
      <c r="D70" s="6" t="s">
        <v>46</v>
      </c>
      <c r="E70" s="6"/>
      <c r="F70" s="6"/>
      <c r="G70" s="6"/>
      <c r="H70" s="6"/>
      <c r="I70" s="24">
        <v>80000</v>
      </c>
      <c r="J70" s="41">
        <v>0</v>
      </c>
      <c r="K70" s="41">
        <f>+J70</f>
        <v>0</v>
      </c>
      <c r="L70" s="29"/>
      <c r="M70" s="30">
        <f t="shared" ref="M70" si="27">+K70/12*2</f>
        <v>0</v>
      </c>
      <c r="N70" s="30"/>
      <c r="O70" s="30">
        <f>+N70-M70</f>
        <v>0</v>
      </c>
    </row>
    <row r="71" spans="1:15">
      <c r="A71" s="26">
        <f t="shared" si="20"/>
        <v>10</v>
      </c>
      <c r="B71" s="7"/>
      <c r="C71" s="7"/>
      <c r="D71" s="6" t="s">
        <v>47</v>
      </c>
      <c r="E71" s="6"/>
      <c r="F71" s="6"/>
      <c r="G71" s="6"/>
      <c r="H71" s="6"/>
      <c r="I71" s="24">
        <v>12000</v>
      </c>
      <c r="J71" s="41">
        <v>10000</v>
      </c>
      <c r="K71" s="41">
        <f>+J71</f>
        <v>10000</v>
      </c>
      <c r="L71" s="29"/>
      <c r="M71" s="30">
        <v>0</v>
      </c>
      <c r="N71" s="30"/>
      <c r="O71" s="30">
        <f>+N71-M71</f>
        <v>0</v>
      </c>
    </row>
    <row r="72" spans="1:15">
      <c r="A72" s="26">
        <f t="shared" si="20"/>
        <v>11</v>
      </c>
      <c r="B72" s="7"/>
      <c r="C72" s="7"/>
      <c r="D72" s="6" t="s">
        <v>48</v>
      </c>
      <c r="E72" s="6"/>
      <c r="F72" s="6"/>
      <c r="G72" s="6"/>
      <c r="H72" s="6"/>
      <c r="I72" s="24"/>
      <c r="J72" s="41"/>
      <c r="K72" s="41"/>
      <c r="L72" s="29"/>
      <c r="M72" s="30"/>
      <c r="N72" s="30"/>
      <c r="O72" s="30">
        <f>+N72-M72</f>
        <v>0</v>
      </c>
    </row>
    <row r="73" spans="1:15">
      <c r="A73" s="26">
        <f t="shared" si="20"/>
        <v>12</v>
      </c>
      <c r="B73" s="7"/>
      <c r="C73" s="6"/>
      <c r="D73" s="6"/>
      <c r="E73" s="6"/>
      <c r="F73" s="6"/>
      <c r="G73" s="6"/>
      <c r="H73" s="6"/>
      <c r="I73" s="43">
        <f>SUM(I70:I72)</f>
        <v>92000</v>
      </c>
      <c r="J73" s="43">
        <f t="shared" ref="J73:O73" si="28">SUM(J70:J71)</f>
        <v>10000</v>
      </c>
      <c r="K73" s="43">
        <f t="shared" si="28"/>
        <v>10000</v>
      </c>
      <c r="L73" s="29"/>
      <c r="M73" s="43">
        <f t="shared" si="28"/>
        <v>0</v>
      </c>
      <c r="N73" s="43">
        <f t="shared" si="28"/>
        <v>0</v>
      </c>
      <c r="O73" s="43">
        <f t="shared" si="28"/>
        <v>0</v>
      </c>
    </row>
    <row r="74" spans="1:15">
      <c r="A74" s="26">
        <f t="shared" si="20"/>
        <v>13</v>
      </c>
      <c r="B74" s="7"/>
      <c r="C74" s="7" t="s">
        <v>8</v>
      </c>
      <c r="D74" s="6"/>
      <c r="E74" s="6"/>
      <c r="F74" s="6"/>
      <c r="G74" s="6"/>
      <c r="H74" s="6"/>
      <c r="I74" s="39"/>
      <c r="J74" s="35"/>
      <c r="K74" s="35"/>
      <c r="L74" s="29"/>
      <c r="M74" s="30"/>
      <c r="N74" s="30"/>
      <c r="O74" s="30"/>
    </row>
    <row r="75" spans="1:15">
      <c r="A75" s="26">
        <f t="shared" si="20"/>
        <v>14</v>
      </c>
      <c r="B75" s="7"/>
      <c r="C75" s="6"/>
      <c r="D75" s="6" t="s">
        <v>49</v>
      </c>
      <c r="E75" s="6"/>
      <c r="F75" s="6"/>
      <c r="G75" s="6"/>
      <c r="H75" s="6"/>
      <c r="I75" s="38">
        <f>430400+43500</f>
        <v>473900</v>
      </c>
      <c r="J75" s="38">
        <v>586619.25</v>
      </c>
      <c r="K75" s="38">
        <f>+J75</f>
        <v>586619.25</v>
      </c>
      <c r="L75" s="29"/>
      <c r="M75" s="30">
        <f>+K75/12*2</f>
        <v>97769.875</v>
      </c>
      <c r="N75" s="30">
        <f>72701.34+5421.34</f>
        <v>78122.679999999993</v>
      </c>
      <c r="O75" s="30">
        <f>+N75-M75</f>
        <v>-19647.195000000007</v>
      </c>
    </row>
    <row r="76" spans="1:15">
      <c r="A76" s="26">
        <f t="shared" si="20"/>
        <v>15</v>
      </c>
      <c r="B76" s="7"/>
      <c r="C76" s="6"/>
      <c r="D76" s="6"/>
      <c r="E76" s="6"/>
      <c r="F76" s="6"/>
      <c r="G76" s="6"/>
      <c r="H76" s="6"/>
      <c r="I76" s="17">
        <f t="shared" ref="I76:O76" si="29">SUM(I75:I75)</f>
        <v>473900</v>
      </c>
      <c r="J76" s="17">
        <f t="shared" si="29"/>
        <v>586619.25</v>
      </c>
      <c r="K76" s="17">
        <f t="shared" ref="K76" si="30">SUM(K75:K75)</f>
        <v>586619.25</v>
      </c>
      <c r="L76" s="29"/>
      <c r="M76" s="17">
        <f t="shared" si="29"/>
        <v>97769.875</v>
      </c>
      <c r="N76" s="17">
        <f t="shared" si="29"/>
        <v>78122.679999999993</v>
      </c>
      <c r="O76" s="17">
        <f t="shared" si="29"/>
        <v>-19647.195000000007</v>
      </c>
    </row>
    <row r="77" spans="1:15">
      <c r="A77" s="26">
        <f t="shared" si="20"/>
        <v>16</v>
      </c>
      <c r="B77" s="7"/>
      <c r="C77" s="6"/>
      <c r="D77" s="6"/>
      <c r="E77" s="6"/>
      <c r="F77" s="6"/>
      <c r="G77" s="6"/>
      <c r="H77" s="6"/>
      <c r="I77" s="39"/>
      <c r="J77" s="41"/>
      <c r="K77" s="41"/>
      <c r="L77" s="29"/>
      <c r="M77" s="30"/>
      <c r="N77" s="30"/>
      <c r="O77" s="30"/>
    </row>
    <row r="78" spans="1:15">
      <c r="A78" s="26">
        <f t="shared" si="20"/>
        <v>17</v>
      </c>
      <c r="B78" s="7"/>
      <c r="C78" s="7" t="s">
        <v>50</v>
      </c>
      <c r="D78" s="6"/>
      <c r="E78" s="6"/>
      <c r="F78" s="6"/>
      <c r="G78" s="6"/>
      <c r="H78" s="6"/>
      <c r="I78" s="43">
        <f t="shared" ref="I78:O78" si="31">+I76+I73+I68+I64</f>
        <v>7355516</v>
      </c>
      <c r="J78" s="43">
        <f t="shared" si="31"/>
        <v>7638631.25</v>
      </c>
      <c r="K78" s="43">
        <f t="shared" si="31"/>
        <v>7638631.25</v>
      </c>
      <c r="L78" s="29"/>
      <c r="M78" s="43">
        <f t="shared" si="31"/>
        <v>1260813.5416666665</v>
      </c>
      <c r="N78" s="43">
        <f t="shared" si="31"/>
        <v>1290688.47</v>
      </c>
      <c r="O78" s="43">
        <f t="shared" si="31"/>
        <v>29874.928333333301</v>
      </c>
    </row>
    <row r="79" spans="1:15">
      <c r="A79" s="26">
        <f t="shared" si="20"/>
        <v>18</v>
      </c>
      <c r="B79" s="7"/>
      <c r="C79" s="6"/>
      <c r="D79" s="6"/>
      <c r="E79" s="6"/>
      <c r="F79" s="6"/>
      <c r="G79" s="6"/>
      <c r="H79" s="6"/>
      <c r="I79" s="39"/>
      <c r="J79" s="35"/>
      <c r="K79" s="35"/>
      <c r="L79" s="29"/>
      <c r="M79" s="30"/>
      <c r="N79" s="30"/>
      <c r="O79" s="30"/>
    </row>
    <row r="80" spans="1:15">
      <c r="A80" s="26">
        <f t="shared" si="20"/>
        <v>19</v>
      </c>
      <c r="B80" s="7" t="s">
        <v>10</v>
      </c>
      <c r="C80" s="6"/>
      <c r="D80" s="6"/>
      <c r="E80" s="6"/>
      <c r="F80" s="6"/>
      <c r="G80" s="6"/>
      <c r="I80" s="44"/>
      <c r="J80" s="41"/>
      <c r="K80" s="41"/>
      <c r="L80" s="29"/>
      <c r="M80" s="30"/>
      <c r="N80" s="30"/>
      <c r="O80" s="30"/>
    </row>
    <row r="81" spans="1:24">
      <c r="A81" s="26">
        <f t="shared" si="20"/>
        <v>20</v>
      </c>
      <c r="B81" s="7"/>
      <c r="C81" s="7" t="s">
        <v>11</v>
      </c>
      <c r="D81" s="6"/>
      <c r="E81" s="6"/>
      <c r="F81" s="6"/>
      <c r="G81" s="6"/>
      <c r="I81" s="44"/>
      <c r="J81" s="41"/>
      <c r="K81" s="41"/>
      <c r="L81" s="29"/>
      <c r="M81" s="30"/>
      <c r="N81" s="30"/>
      <c r="O81" s="30"/>
    </row>
    <row r="82" spans="1:24">
      <c r="A82" s="26">
        <f t="shared" si="20"/>
        <v>21</v>
      </c>
      <c r="B82" s="6"/>
      <c r="C82" s="6"/>
      <c r="D82" s="7" t="s">
        <v>17</v>
      </c>
      <c r="E82" s="7"/>
      <c r="F82" s="6"/>
      <c r="G82" s="6"/>
      <c r="I82" s="44"/>
      <c r="J82" s="41"/>
      <c r="K82" s="41"/>
      <c r="L82" s="29"/>
      <c r="M82" s="30"/>
      <c r="N82" s="30"/>
      <c r="O82" s="30"/>
      <c r="X82" s="91">
        <v>133977</v>
      </c>
    </row>
    <row r="83" spans="1:24">
      <c r="A83" s="26">
        <f t="shared" si="20"/>
        <v>22</v>
      </c>
      <c r="B83" s="6"/>
      <c r="C83" s="6"/>
      <c r="D83" s="6"/>
      <c r="E83" s="6" t="s">
        <v>36</v>
      </c>
      <c r="G83" s="6"/>
      <c r="I83" s="41">
        <f>1641620+222931+100000+223682+84000+85000+157906</f>
        <v>2515139</v>
      </c>
      <c r="J83" s="41">
        <v>2008425.9</v>
      </c>
      <c r="K83" s="41">
        <f t="shared" ref="K83:K89" si="32">+J83</f>
        <v>2008425.9</v>
      </c>
      <c r="L83" s="29"/>
      <c r="M83" s="30">
        <f>+K83/26*0</f>
        <v>0</v>
      </c>
      <c r="N83" s="30">
        <v>0</v>
      </c>
      <c r="O83" s="30">
        <f>+M83-N83</f>
        <v>0</v>
      </c>
      <c r="X83" s="91">
        <v>134975</v>
      </c>
    </row>
    <row r="84" spans="1:24">
      <c r="A84" s="26">
        <f t="shared" si="20"/>
        <v>23</v>
      </c>
      <c r="B84" s="6"/>
      <c r="C84" s="6"/>
      <c r="D84" s="6"/>
      <c r="E84" s="6" t="s">
        <v>51</v>
      </c>
      <c r="G84" s="6"/>
      <c r="I84" s="41">
        <f>142694+17054+6426+6502+227040+25800+5160+9600+45000+481994+57605+21706+21964+12080+15480+40803</f>
        <v>1136908</v>
      </c>
      <c r="J84" s="41">
        <v>822844.77649999969</v>
      </c>
      <c r="K84" s="41">
        <f t="shared" si="32"/>
        <v>822844.77649999969</v>
      </c>
      <c r="L84" s="29"/>
      <c r="M84" s="30">
        <f>+K84/26*1.5</f>
        <v>47471.814028846136</v>
      </c>
      <c r="N84" s="30">
        <v>39922.74</v>
      </c>
      <c r="O84" s="30">
        <f t="shared" ref="O84:O89" si="33">+M84-N84</f>
        <v>7549.0740288461384</v>
      </c>
      <c r="X84" s="91">
        <f>+X83-X82</f>
        <v>998</v>
      </c>
    </row>
    <row r="85" spans="1:24">
      <c r="A85" s="26">
        <f t="shared" si="20"/>
        <v>24</v>
      </c>
      <c r="B85" s="6"/>
      <c r="C85" s="6"/>
      <c r="D85" s="6"/>
      <c r="E85" s="6" t="s">
        <v>39</v>
      </c>
      <c r="G85" s="6"/>
      <c r="I85" s="41"/>
      <c r="J85" s="41">
        <v>35000</v>
      </c>
      <c r="K85" s="41">
        <f t="shared" si="32"/>
        <v>35000</v>
      </c>
      <c r="L85" s="29"/>
      <c r="M85" s="30">
        <f t="shared" ref="M85" si="34">+K85/12*2</f>
        <v>5833.333333333333</v>
      </c>
      <c r="N85" s="30">
        <f>420+10600</f>
        <v>11020</v>
      </c>
      <c r="O85" s="30">
        <f t="shared" si="33"/>
        <v>-5186.666666666667</v>
      </c>
    </row>
    <row r="86" spans="1:24">
      <c r="A86" s="26">
        <f t="shared" si="20"/>
        <v>25</v>
      </c>
      <c r="B86" s="6"/>
      <c r="C86" s="6"/>
      <c r="D86" s="6"/>
      <c r="E86" s="10" t="s">
        <v>52</v>
      </c>
      <c r="G86" s="6"/>
      <c r="I86" s="41">
        <f>100000+15000+1000+300+36000+10000+10500-998</f>
        <v>171802</v>
      </c>
      <c r="J86" s="41">
        <v>87500</v>
      </c>
      <c r="K86" s="41">
        <f t="shared" si="32"/>
        <v>87500</v>
      </c>
      <c r="L86" s="29"/>
      <c r="M86" s="30">
        <v>0</v>
      </c>
      <c r="N86" s="30">
        <v>0</v>
      </c>
      <c r="O86" s="30">
        <f t="shared" si="33"/>
        <v>0</v>
      </c>
    </row>
    <row r="87" spans="1:24">
      <c r="A87" s="26">
        <f t="shared" si="20"/>
        <v>26</v>
      </c>
      <c r="B87" s="6"/>
      <c r="C87" s="6"/>
      <c r="D87" s="6"/>
      <c r="E87" s="12" t="s">
        <v>109</v>
      </c>
      <c r="G87" s="6"/>
      <c r="I87" s="41"/>
      <c r="J87" s="41">
        <v>157500</v>
      </c>
      <c r="K87" s="41">
        <f t="shared" si="32"/>
        <v>157500</v>
      </c>
      <c r="L87" s="29"/>
      <c r="M87" s="30">
        <f>+K87/12*6</f>
        <v>78750</v>
      </c>
      <c r="N87" s="30">
        <f>76205.01+7373.81</f>
        <v>83578.819999999992</v>
      </c>
      <c r="O87" s="30">
        <f t="shared" si="33"/>
        <v>-4828.8199999999924</v>
      </c>
    </row>
    <row r="88" spans="1:24">
      <c r="A88" s="26">
        <f t="shared" si="20"/>
        <v>27</v>
      </c>
      <c r="B88" s="6"/>
      <c r="C88" s="6"/>
      <c r="D88" s="6"/>
      <c r="E88" s="12" t="s">
        <v>54</v>
      </c>
      <c r="G88" s="6"/>
      <c r="I88" s="41">
        <v>24000</v>
      </c>
      <c r="J88" s="41">
        <v>50000</v>
      </c>
      <c r="K88" s="41">
        <f t="shared" si="32"/>
        <v>50000</v>
      </c>
      <c r="L88" s="29"/>
      <c r="M88" s="30">
        <v>0</v>
      </c>
      <c r="N88" s="30">
        <v>0</v>
      </c>
      <c r="O88" s="30">
        <f t="shared" si="33"/>
        <v>0</v>
      </c>
    </row>
    <row r="89" spans="1:24">
      <c r="A89" s="26">
        <f t="shared" si="20"/>
        <v>28</v>
      </c>
      <c r="B89" s="6"/>
      <c r="C89" s="6"/>
      <c r="D89" s="6"/>
      <c r="E89" s="12" t="s">
        <v>55</v>
      </c>
      <c r="G89" s="6"/>
      <c r="I89" s="45"/>
      <c r="J89" s="45">
        <v>75000</v>
      </c>
      <c r="K89" s="45">
        <f t="shared" si="32"/>
        <v>75000</v>
      </c>
      <c r="L89" s="29"/>
      <c r="M89" s="30">
        <v>0</v>
      </c>
      <c r="N89" s="30">
        <v>0</v>
      </c>
      <c r="O89" s="30">
        <f t="shared" si="33"/>
        <v>0</v>
      </c>
    </row>
    <row r="90" spans="1:24">
      <c r="A90" s="26">
        <f t="shared" si="20"/>
        <v>29</v>
      </c>
      <c r="B90" s="6"/>
      <c r="C90" s="6"/>
      <c r="D90" s="6"/>
      <c r="E90" s="6"/>
      <c r="F90" s="6"/>
      <c r="G90" s="6"/>
      <c r="I90" s="46">
        <f t="shared" ref="I90" si="35">SUM(I83:I89)</f>
        <v>3847849</v>
      </c>
      <c r="J90" s="46">
        <f t="shared" ref="J90:K90" si="36">SUM(J83:J89)</f>
        <v>3236270.6764999996</v>
      </c>
      <c r="K90" s="46">
        <f t="shared" si="36"/>
        <v>3236270.6764999996</v>
      </c>
      <c r="L90" s="29"/>
      <c r="M90" s="46">
        <f t="shared" ref="M90:O90" si="37">SUM(M83:M89)</f>
        <v>132055.14736217947</v>
      </c>
      <c r="N90" s="46">
        <f>SUM(N83:N89)</f>
        <v>134521.56</v>
      </c>
      <c r="O90" s="46">
        <f t="shared" si="37"/>
        <v>-2466.412637820521</v>
      </c>
    </row>
    <row r="91" spans="1:24">
      <c r="A91" s="26">
        <f t="shared" si="20"/>
        <v>30</v>
      </c>
      <c r="B91" s="6"/>
      <c r="C91" s="6"/>
      <c r="D91" s="7" t="s">
        <v>18</v>
      </c>
      <c r="E91" s="7"/>
      <c r="F91" s="6"/>
      <c r="G91" s="6"/>
      <c r="I91" s="41"/>
      <c r="J91" s="41"/>
      <c r="K91" s="41"/>
      <c r="L91" s="29"/>
      <c r="M91" s="30"/>
      <c r="N91" s="30"/>
      <c r="O91" s="30"/>
    </row>
    <row r="92" spans="1:24">
      <c r="A92" s="26">
        <f t="shared" si="20"/>
        <v>31</v>
      </c>
      <c r="B92" s="6"/>
      <c r="C92" s="6"/>
      <c r="D92" s="7"/>
      <c r="E92" s="6" t="s">
        <v>36</v>
      </c>
      <c r="G92" s="6"/>
      <c r="I92" s="16">
        <v>716472</v>
      </c>
      <c r="J92" s="41">
        <v>428248</v>
      </c>
      <c r="K92" s="41">
        <f t="shared" ref="K92:K96" si="38">+J92</f>
        <v>428248</v>
      </c>
      <c r="L92" s="29"/>
      <c r="M92" s="30">
        <f t="shared" ref="M92" si="39">+K92/26*0</f>
        <v>0</v>
      </c>
      <c r="N92" s="30">
        <v>0</v>
      </c>
      <c r="O92" s="30">
        <f t="shared" ref="O92:O96" si="40">+M92-N92</f>
        <v>0</v>
      </c>
    </row>
    <row r="93" spans="1:24">
      <c r="A93" s="26">
        <f t="shared" si="20"/>
        <v>32</v>
      </c>
      <c r="B93" s="6"/>
      <c r="C93" s="6"/>
      <c r="D93" s="7"/>
      <c r="E93" s="6" t="s">
        <v>51</v>
      </c>
      <c r="G93" s="6"/>
      <c r="I93" s="16">
        <f>38241+72240+129172</f>
        <v>239653</v>
      </c>
      <c r="J93" s="41">
        <v>181160.34139999992</v>
      </c>
      <c r="K93" s="41">
        <f t="shared" si="38"/>
        <v>181160.34139999992</v>
      </c>
      <c r="L93" s="29"/>
      <c r="M93" s="30">
        <f>+K93/26*1.5</f>
        <v>10451.558157692303</v>
      </c>
      <c r="N93" s="30">
        <v>8452.33</v>
      </c>
      <c r="O93" s="30">
        <f t="shared" si="40"/>
        <v>1999.2281576923033</v>
      </c>
    </row>
    <row r="94" spans="1:24">
      <c r="A94" s="26">
        <f t="shared" si="20"/>
        <v>33</v>
      </c>
      <c r="B94" s="6"/>
      <c r="C94" s="6"/>
      <c r="D94" s="7"/>
      <c r="E94" s="6" t="s">
        <v>107</v>
      </c>
      <c r="G94" s="6"/>
      <c r="I94" s="16"/>
      <c r="J94" s="41">
        <v>0</v>
      </c>
      <c r="K94" s="41">
        <f t="shared" si="38"/>
        <v>0</v>
      </c>
      <c r="L94" s="29"/>
      <c r="M94" s="30">
        <f t="shared" ref="M94:M96" si="41">+K94/12*2</f>
        <v>0</v>
      </c>
      <c r="N94" s="30">
        <v>0</v>
      </c>
      <c r="O94" s="30">
        <f t="shared" si="40"/>
        <v>0</v>
      </c>
    </row>
    <row r="95" spans="1:24">
      <c r="A95" s="26">
        <f t="shared" si="20"/>
        <v>34</v>
      </c>
      <c r="B95" s="6"/>
      <c r="C95" s="6"/>
      <c r="D95" s="6"/>
      <c r="E95" s="6" t="s">
        <v>108</v>
      </c>
      <c r="G95" s="6"/>
      <c r="I95" s="16">
        <f>50000+23000+52000+2000+8000+1000</f>
        <v>136000</v>
      </c>
      <c r="J95" s="41">
        <v>100000</v>
      </c>
      <c r="K95" s="41">
        <f t="shared" si="38"/>
        <v>100000</v>
      </c>
      <c r="L95" s="29"/>
      <c r="M95" s="30">
        <v>66050</v>
      </c>
      <c r="N95" s="30">
        <v>66050</v>
      </c>
      <c r="O95" s="30">
        <f t="shared" si="40"/>
        <v>0</v>
      </c>
    </row>
    <row r="96" spans="1:24">
      <c r="A96" s="26">
        <f t="shared" si="20"/>
        <v>35</v>
      </c>
      <c r="B96" s="6"/>
      <c r="C96" s="6"/>
      <c r="D96" s="6"/>
      <c r="E96" s="10" t="s">
        <v>52</v>
      </c>
      <c r="G96" s="6"/>
      <c r="I96" s="16">
        <v>10500</v>
      </c>
      <c r="J96" s="41">
        <v>0</v>
      </c>
      <c r="K96" s="41">
        <f t="shared" si="38"/>
        <v>0</v>
      </c>
      <c r="L96" s="29"/>
      <c r="M96" s="30">
        <f t="shared" si="41"/>
        <v>0</v>
      </c>
      <c r="N96" s="30">
        <v>0</v>
      </c>
      <c r="O96" s="30">
        <f t="shared" si="40"/>
        <v>0</v>
      </c>
    </row>
    <row r="97" spans="1:15">
      <c r="A97" s="26">
        <f t="shared" si="20"/>
        <v>36</v>
      </c>
      <c r="B97" s="6"/>
      <c r="C97" s="6"/>
      <c r="D97" s="6"/>
      <c r="E97" s="6"/>
      <c r="F97" s="6"/>
      <c r="G97" s="6"/>
      <c r="I97" s="47">
        <f t="shared" ref="I97" si="42">SUM(I92:I96)</f>
        <v>1102625</v>
      </c>
      <c r="J97" s="47">
        <f t="shared" ref="J97:K97" si="43">SUM(J92:J96)</f>
        <v>709408.34139999992</v>
      </c>
      <c r="K97" s="47">
        <f t="shared" si="43"/>
        <v>709408.34139999992</v>
      </c>
      <c r="L97" s="29"/>
      <c r="M97" s="47">
        <f t="shared" ref="M97:O97" si="44">SUM(M92:M96)</f>
        <v>76501.5581576923</v>
      </c>
      <c r="N97" s="47">
        <f t="shared" si="44"/>
        <v>74502.33</v>
      </c>
      <c r="O97" s="47">
        <f t="shared" si="44"/>
        <v>1999.2281576923033</v>
      </c>
    </row>
    <row r="98" spans="1:15">
      <c r="A98" s="26">
        <f t="shared" si="20"/>
        <v>37</v>
      </c>
      <c r="B98" s="6"/>
      <c r="C98" s="6"/>
      <c r="D98" s="7" t="s">
        <v>19</v>
      </c>
      <c r="E98" s="6"/>
      <c r="F98" s="6"/>
      <c r="G98" s="6"/>
      <c r="I98" s="44"/>
      <c r="J98" s="45"/>
      <c r="K98" s="45"/>
      <c r="L98" s="29"/>
      <c r="M98" s="30"/>
      <c r="N98" s="30"/>
      <c r="O98" s="30"/>
    </row>
    <row r="99" spans="1:15">
      <c r="A99" s="26">
        <f t="shared" si="20"/>
        <v>38</v>
      </c>
      <c r="B99" s="6"/>
      <c r="C99" s="6"/>
      <c r="D99" s="6"/>
      <c r="E99" s="6" t="s">
        <v>36</v>
      </c>
      <c r="F99" s="6"/>
      <c r="G99" s="6"/>
      <c r="I99" s="44">
        <v>0</v>
      </c>
      <c r="J99" s="45">
        <v>58164.5</v>
      </c>
      <c r="K99" s="41">
        <f t="shared" ref="K99:K101" si="45">+J99</f>
        <v>58164.5</v>
      </c>
      <c r="L99" s="29"/>
      <c r="M99" s="30">
        <f>+K99/26*0+15085</f>
        <v>15085</v>
      </c>
      <c r="N99" s="30">
        <v>15908.25</v>
      </c>
      <c r="O99" s="30">
        <f t="shared" ref="O99:O101" si="46">+M99-N99</f>
        <v>-823.25</v>
      </c>
    </row>
    <row r="100" spans="1:15">
      <c r="A100" s="26">
        <f t="shared" si="20"/>
        <v>39</v>
      </c>
      <c r="B100" s="6"/>
      <c r="C100" s="6"/>
      <c r="D100" s="6"/>
      <c r="E100" s="6" t="s">
        <v>51</v>
      </c>
      <c r="F100" s="6"/>
      <c r="G100" s="6"/>
      <c r="I100" s="44">
        <v>0</v>
      </c>
      <c r="J100" s="45">
        <v>15695.945350000009</v>
      </c>
      <c r="K100" s="41">
        <f t="shared" si="45"/>
        <v>15695.945350000009</v>
      </c>
      <c r="L100" s="29"/>
      <c r="M100" s="30">
        <f>+K100/26*0+5198</f>
        <v>5198</v>
      </c>
      <c r="N100" s="30">
        <v>4511.1099999999997</v>
      </c>
      <c r="O100" s="30">
        <f t="shared" si="46"/>
        <v>686.89000000000033</v>
      </c>
    </row>
    <row r="101" spans="1:15">
      <c r="A101" s="26">
        <f t="shared" si="20"/>
        <v>40</v>
      </c>
      <c r="B101" s="6"/>
      <c r="C101" s="6"/>
      <c r="D101" s="6"/>
      <c r="E101" s="10" t="s">
        <v>52</v>
      </c>
      <c r="F101" s="6"/>
      <c r="G101" s="6"/>
      <c r="I101" s="44">
        <v>0</v>
      </c>
      <c r="J101" s="41">
        <v>3000</v>
      </c>
      <c r="K101" s="41">
        <f t="shared" si="45"/>
        <v>3000</v>
      </c>
      <c r="L101" s="29"/>
      <c r="M101" s="30">
        <v>0</v>
      </c>
      <c r="N101" s="30">
        <v>0</v>
      </c>
      <c r="O101" s="30">
        <f t="shared" si="46"/>
        <v>0</v>
      </c>
    </row>
    <row r="102" spans="1:15">
      <c r="A102" s="26">
        <f t="shared" si="20"/>
        <v>41</v>
      </c>
      <c r="B102" s="6"/>
      <c r="C102" s="6"/>
      <c r="D102" s="6"/>
      <c r="E102" s="6"/>
      <c r="F102" s="6"/>
      <c r="G102" s="6"/>
      <c r="I102" s="46">
        <f t="shared" ref="I102:K102" si="47">SUM(I99:I101)</f>
        <v>0</v>
      </c>
      <c r="J102" s="46">
        <f t="shared" si="47"/>
        <v>76860.445350000009</v>
      </c>
      <c r="K102" s="46">
        <f t="shared" si="47"/>
        <v>76860.445350000009</v>
      </c>
      <c r="L102" s="29"/>
      <c r="M102" s="46">
        <f t="shared" ref="M102:O102" si="48">SUM(M99:M101)</f>
        <v>20283</v>
      </c>
      <c r="N102" s="46">
        <f t="shared" si="48"/>
        <v>20419.36</v>
      </c>
      <c r="O102" s="46">
        <f t="shared" si="48"/>
        <v>-136.35999999999967</v>
      </c>
    </row>
    <row r="103" spans="1:15">
      <c r="A103" s="26">
        <f t="shared" si="20"/>
        <v>42</v>
      </c>
      <c r="B103" s="6"/>
      <c r="C103" s="6"/>
      <c r="D103" s="6"/>
      <c r="E103" s="6"/>
      <c r="F103" s="6"/>
      <c r="G103" s="6"/>
      <c r="I103" s="44"/>
      <c r="J103" s="45"/>
      <c r="K103" s="45"/>
      <c r="L103" s="29"/>
      <c r="M103" s="30"/>
      <c r="N103" s="30"/>
      <c r="O103" s="30"/>
    </row>
    <row r="104" spans="1:15">
      <c r="A104" s="26">
        <f t="shared" si="20"/>
        <v>43</v>
      </c>
      <c r="B104" s="6"/>
      <c r="C104" s="6"/>
      <c r="D104" s="6"/>
      <c r="E104" s="6"/>
      <c r="F104" s="7" t="s">
        <v>56</v>
      </c>
      <c r="G104" s="6"/>
      <c r="I104" s="48">
        <f t="shared" ref="I104:O104" si="49">+I97+I90+I102</f>
        <v>4950474</v>
      </c>
      <c r="J104" s="48">
        <f t="shared" si="49"/>
        <v>4022539.4632499996</v>
      </c>
      <c r="K104" s="48">
        <f t="shared" si="49"/>
        <v>4022539.4632499996</v>
      </c>
      <c r="L104" s="29"/>
      <c r="M104" s="48">
        <f t="shared" si="49"/>
        <v>228839.70551987179</v>
      </c>
      <c r="N104" s="48">
        <f>+N97+N90+N102</f>
        <v>229443.25</v>
      </c>
      <c r="O104" s="48">
        <f t="shared" si="49"/>
        <v>-603.5444801282174</v>
      </c>
    </row>
    <row r="105" spans="1:15">
      <c r="A105" s="26">
        <f t="shared" si="20"/>
        <v>44</v>
      </c>
      <c r="B105" s="6"/>
      <c r="C105" s="6"/>
      <c r="D105" s="6"/>
      <c r="E105" s="6"/>
      <c r="F105" s="7"/>
      <c r="G105" s="6"/>
      <c r="I105" s="49"/>
      <c r="J105" s="28"/>
      <c r="K105" s="28"/>
      <c r="L105" s="29"/>
      <c r="M105" s="30"/>
      <c r="N105" s="30"/>
      <c r="O105" s="30"/>
    </row>
    <row r="106" spans="1:15">
      <c r="A106" s="26">
        <f t="shared" si="20"/>
        <v>45</v>
      </c>
      <c r="B106" s="6"/>
      <c r="C106" s="7" t="s">
        <v>20</v>
      </c>
      <c r="D106" s="6"/>
      <c r="E106" s="6"/>
      <c r="F106" s="7"/>
      <c r="G106" s="6"/>
      <c r="I106" s="49"/>
      <c r="J106" s="41"/>
      <c r="K106" s="41"/>
      <c r="L106" s="29"/>
      <c r="M106" s="30"/>
      <c r="N106" s="30"/>
      <c r="O106" s="30"/>
    </row>
    <row r="107" spans="1:15">
      <c r="A107" s="26">
        <f t="shared" si="20"/>
        <v>46</v>
      </c>
      <c r="B107" s="6"/>
      <c r="C107" s="7"/>
      <c r="D107" s="7" t="s">
        <v>57</v>
      </c>
      <c r="E107" s="6"/>
      <c r="F107" s="7"/>
      <c r="G107" s="6"/>
      <c r="I107" s="49"/>
      <c r="J107" s="45"/>
      <c r="K107" s="45"/>
      <c r="L107" s="29"/>
      <c r="M107" s="30"/>
      <c r="N107" s="30"/>
      <c r="O107" s="30"/>
    </row>
    <row r="108" spans="1:15">
      <c r="A108" s="26">
        <f t="shared" si="20"/>
        <v>47</v>
      </c>
      <c r="B108" s="6"/>
      <c r="C108" s="7"/>
      <c r="D108" s="7"/>
      <c r="E108" s="6" t="s">
        <v>36</v>
      </c>
      <c r="F108" s="7"/>
      <c r="G108" s="6"/>
      <c r="I108" s="49">
        <v>54838</v>
      </c>
      <c r="J108" s="45">
        <v>55000</v>
      </c>
      <c r="K108" s="41">
        <f t="shared" ref="K108:K109" si="50">+J108</f>
        <v>55000</v>
      </c>
      <c r="L108" s="29"/>
      <c r="M108" s="30">
        <f>+K108/26*0</f>
        <v>0</v>
      </c>
      <c r="N108" s="30">
        <v>0</v>
      </c>
      <c r="O108" s="30">
        <f t="shared" ref="O108:O109" si="51">+M108-N108</f>
        <v>0</v>
      </c>
    </row>
    <row r="109" spans="1:15">
      <c r="A109" s="26">
        <f t="shared" si="20"/>
        <v>48</v>
      </c>
      <c r="B109" s="6"/>
      <c r="C109" s="7"/>
      <c r="D109" s="7"/>
      <c r="E109" s="6" t="s">
        <v>51</v>
      </c>
      <c r="F109" s="7"/>
      <c r="G109" s="6"/>
      <c r="I109" s="49">
        <f>4195+5160+14170</f>
        <v>23525</v>
      </c>
      <c r="J109" s="45">
        <v>31821.508000000002</v>
      </c>
      <c r="K109" s="41">
        <f t="shared" si="50"/>
        <v>31821.508000000002</v>
      </c>
      <c r="L109" s="29"/>
      <c r="M109" s="30">
        <f>+K109/26*1.5</f>
        <v>1835.8562307692307</v>
      </c>
      <c r="N109" s="30">
        <v>121.43</v>
      </c>
      <c r="O109" s="30">
        <f t="shared" si="51"/>
        <v>1714.4262307692306</v>
      </c>
    </row>
    <row r="110" spans="1:15">
      <c r="A110" s="26">
        <f t="shared" si="20"/>
        <v>49</v>
      </c>
      <c r="B110" s="6"/>
      <c r="C110" s="7"/>
      <c r="D110" s="6"/>
      <c r="E110" s="6"/>
      <c r="F110" s="7"/>
      <c r="G110" s="6"/>
      <c r="I110" s="17">
        <f t="shared" ref="I110:O110" si="52">SUM(I108:I109)</f>
        <v>78363</v>
      </c>
      <c r="J110" s="17">
        <f t="shared" si="52"/>
        <v>86821.508000000002</v>
      </c>
      <c r="K110" s="17">
        <f t="shared" ref="K110" si="53">SUM(K108:K109)</f>
        <v>86821.508000000002</v>
      </c>
      <c r="L110" s="29"/>
      <c r="M110" s="17">
        <f t="shared" si="52"/>
        <v>1835.8562307692307</v>
      </c>
      <c r="N110" s="17">
        <f t="shared" si="52"/>
        <v>121.43</v>
      </c>
      <c r="O110" s="17">
        <f t="shared" si="52"/>
        <v>1714.4262307692306</v>
      </c>
    </row>
    <row r="111" spans="1:15">
      <c r="A111" s="26">
        <f t="shared" si="20"/>
        <v>50</v>
      </c>
      <c r="B111" s="6"/>
      <c r="C111" s="6"/>
      <c r="D111" s="14" t="s">
        <v>22</v>
      </c>
      <c r="E111" s="6"/>
      <c r="F111" s="6"/>
      <c r="G111" s="6"/>
      <c r="I111" s="50"/>
      <c r="J111" s="31"/>
      <c r="K111" s="31"/>
      <c r="L111" s="29"/>
      <c r="M111" s="30"/>
      <c r="N111" s="30"/>
      <c r="O111" s="30"/>
    </row>
    <row r="112" spans="1:15">
      <c r="A112" s="26">
        <f t="shared" si="20"/>
        <v>51</v>
      </c>
      <c r="B112" s="6"/>
      <c r="C112" s="6"/>
      <c r="D112" s="14"/>
      <c r="E112" s="6" t="s">
        <v>36</v>
      </c>
      <c r="F112" s="6"/>
      <c r="G112" s="6"/>
      <c r="I112" s="50">
        <v>75000</v>
      </c>
      <c r="J112" s="31">
        <v>112000</v>
      </c>
      <c r="K112" s="41">
        <f t="shared" ref="K112:K114" si="54">+J112</f>
        <v>112000</v>
      </c>
      <c r="L112" s="29"/>
      <c r="M112" s="30">
        <f t="shared" ref="M112" si="55">+K112/26*0</f>
        <v>0</v>
      </c>
      <c r="N112" s="30">
        <v>0</v>
      </c>
      <c r="O112" s="30">
        <f t="shared" ref="O112:O114" si="56">+M112-N112</f>
        <v>0</v>
      </c>
    </row>
    <row r="113" spans="1:15">
      <c r="A113" s="26">
        <f t="shared" si="20"/>
        <v>52</v>
      </c>
      <c r="B113" s="6"/>
      <c r="C113" s="6"/>
      <c r="D113" s="14"/>
      <c r="E113" s="6" t="s">
        <v>51</v>
      </c>
      <c r="F113" s="6"/>
      <c r="G113" s="6"/>
      <c r="I113" s="50">
        <f>5737+5160+19380</f>
        <v>30277</v>
      </c>
      <c r="J113" s="31">
        <v>64423.616000000009</v>
      </c>
      <c r="K113" s="41">
        <f t="shared" si="54"/>
        <v>64423.616000000009</v>
      </c>
      <c r="L113" s="29"/>
      <c r="M113" s="30">
        <f>+K113/26*1.5</f>
        <v>3716.7470769230777</v>
      </c>
      <c r="N113" s="30">
        <f>174.18+351.96</f>
        <v>526.14</v>
      </c>
      <c r="O113" s="30">
        <f t="shared" si="56"/>
        <v>3190.6070769230778</v>
      </c>
    </row>
    <row r="114" spans="1:15">
      <c r="A114" s="26">
        <f t="shared" si="20"/>
        <v>53</v>
      </c>
      <c r="B114" s="6"/>
      <c r="C114" s="6"/>
      <c r="D114" s="9"/>
      <c r="E114" s="6" t="s">
        <v>38</v>
      </c>
      <c r="G114" s="6"/>
      <c r="I114" s="45"/>
      <c r="J114" s="45">
        <v>40000</v>
      </c>
      <c r="K114" s="41">
        <f t="shared" si="54"/>
        <v>40000</v>
      </c>
      <c r="L114" s="29"/>
      <c r="M114" s="30">
        <f t="shared" ref="M114" si="57">+K114/12*2</f>
        <v>6666.666666666667</v>
      </c>
      <c r="N114" s="30">
        <v>3900</v>
      </c>
      <c r="O114" s="30">
        <f t="shared" si="56"/>
        <v>2766.666666666667</v>
      </c>
    </row>
    <row r="115" spans="1:15">
      <c r="A115" s="26">
        <f t="shared" si="20"/>
        <v>54</v>
      </c>
      <c r="B115" s="6"/>
      <c r="C115" s="6"/>
      <c r="D115" s="9"/>
      <c r="E115" s="6"/>
      <c r="F115" s="6"/>
      <c r="G115" s="6"/>
      <c r="I115" s="43">
        <f t="shared" ref="I115" si="58">SUM(I112:I114)</f>
        <v>105277</v>
      </c>
      <c r="J115" s="43">
        <f t="shared" ref="J115:K115" si="59">SUM(J112:J114)</f>
        <v>216423.61600000001</v>
      </c>
      <c r="K115" s="43">
        <f t="shared" si="59"/>
        <v>216423.61600000001</v>
      </c>
      <c r="L115" s="29"/>
      <c r="M115" s="43">
        <f t="shared" ref="M115:O115" si="60">SUM(M112:M114)</f>
        <v>10383.413743589745</v>
      </c>
      <c r="N115" s="43">
        <f t="shared" si="60"/>
        <v>4426.1400000000003</v>
      </c>
      <c r="O115" s="43">
        <f t="shared" si="60"/>
        <v>5957.2737435897452</v>
      </c>
    </row>
    <row r="116" spans="1:15">
      <c r="A116" s="26">
        <f t="shared" si="20"/>
        <v>55</v>
      </c>
      <c r="B116" s="6"/>
      <c r="C116" s="7"/>
      <c r="D116" s="7" t="s">
        <v>23</v>
      </c>
      <c r="E116" s="6"/>
      <c r="F116" s="7"/>
      <c r="G116" s="6"/>
      <c r="I116" s="49"/>
      <c r="J116" s="45"/>
      <c r="K116" s="45"/>
      <c r="L116" s="29"/>
      <c r="M116" s="30"/>
      <c r="N116" s="30"/>
      <c r="O116" s="30"/>
    </row>
    <row r="117" spans="1:15">
      <c r="A117" s="26">
        <f t="shared" si="20"/>
        <v>56</v>
      </c>
      <c r="B117" s="6"/>
      <c r="C117" s="7"/>
      <c r="D117" s="7"/>
      <c r="E117" s="6" t="s">
        <v>36</v>
      </c>
      <c r="F117" s="7"/>
      <c r="G117" s="6"/>
      <c r="I117" s="49"/>
      <c r="J117" s="45">
        <v>60000</v>
      </c>
      <c r="K117" s="41">
        <f t="shared" ref="K117:K118" si="61">+J117</f>
        <v>60000</v>
      </c>
      <c r="L117" s="29"/>
      <c r="M117" s="30">
        <f t="shared" ref="M117" si="62">+K117/26*0</f>
        <v>0</v>
      </c>
      <c r="N117" s="30">
        <v>0</v>
      </c>
      <c r="O117" s="30">
        <f t="shared" ref="O117:O118" si="63">+M117-N117</f>
        <v>0</v>
      </c>
    </row>
    <row r="118" spans="1:15">
      <c r="A118" s="26">
        <f t="shared" si="20"/>
        <v>57</v>
      </c>
      <c r="B118" s="6"/>
      <c r="C118" s="7"/>
      <c r="D118" s="7"/>
      <c r="E118" s="6" t="s">
        <v>51</v>
      </c>
      <c r="F118" s="7"/>
      <c r="G118" s="6"/>
      <c r="I118" s="49"/>
      <c r="J118" s="45">
        <v>13360.800000000003</v>
      </c>
      <c r="K118" s="41">
        <f t="shared" si="61"/>
        <v>13360.800000000003</v>
      </c>
      <c r="L118" s="29"/>
      <c r="M118" s="30">
        <f>+K118/26*1.5</f>
        <v>770.8153846153848</v>
      </c>
      <c r="N118" s="30">
        <v>130.97999999999999</v>
      </c>
      <c r="O118" s="30">
        <f t="shared" si="63"/>
        <v>639.83538461538478</v>
      </c>
    </row>
    <row r="119" spans="1:15">
      <c r="A119" s="26">
        <f t="shared" si="20"/>
        <v>58</v>
      </c>
      <c r="B119" s="6"/>
      <c r="C119" s="7"/>
      <c r="D119" s="6"/>
      <c r="E119" s="6"/>
      <c r="F119" s="7"/>
      <c r="G119" s="6"/>
      <c r="I119" s="17">
        <f t="shared" ref="I119:O119" si="64">SUM(I117:I118)</f>
        <v>0</v>
      </c>
      <c r="J119" s="17">
        <f t="shared" si="64"/>
        <v>73360.800000000003</v>
      </c>
      <c r="K119" s="17">
        <f t="shared" ref="K119" si="65">SUM(K117:K118)</f>
        <v>73360.800000000003</v>
      </c>
      <c r="L119" s="29"/>
      <c r="M119" s="17">
        <f t="shared" si="64"/>
        <v>770.8153846153848</v>
      </c>
      <c r="N119" s="17">
        <f t="shared" si="64"/>
        <v>130.97999999999999</v>
      </c>
      <c r="O119" s="17">
        <f t="shared" si="64"/>
        <v>639.83538461538478</v>
      </c>
    </row>
    <row r="120" spans="1:15">
      <c r="A120" s="26">
        <f t="shared" si="20"/>
        <v>59</v>
      </c>
      <c r="B120" s="6"/>
      <c r="C120" s="6"/>
      <c r="D120" s="7" t="s">
        <v>24</v>
      </c>
      <c r="E120" s="7"/>
      <c r="F120" s="6"/>
      <c r="G120" s="6"/>
      <c r="I120" s="44"/>
      <c r="J120" s="41"/>
      <c r="K120" s="41"/>
      <c r="L120" s="29"/>
      <c r="M120" s="30"/>
      <c r="N120" s="30"/>
      <c r="O120" s="30"/>
    </row>
    <row r="121" spans="1:15">
      <c r="A121" s="26">
        <f t="shared" si="20"/>
        <v>60</v>
      </c>
      <c r="B121" s="6"/>
      <c r="C121" s="6"/>
      <c r="D121" s="7"/>
      <c r="E121" s="6" t="s">
        <v>36</v>
      </c>
      <c r="F121" s="6"/>
      <c r="G121" s="6"/>
      <c r="I121" s="44">
        <v>0</v>
      </c>
      <c r="J121" s="41">
        <v>0</v>
      </c>
      <c r="K121" s="41">
        <f t="shared" ref="K121:K123" si="66">+J121</f>
        <v>0</v>
      </c>
      <c r="L121" s="29"/>
      <c r="M121" s="30">
        <f t="shared" ref="M121:M122" si="67">+K121/26*0</f>
        <v>0</v>
      </c>
      <c r="N121" s="30">
        <v>0</v>
      </c>
      <c r="O121" s="30">
        <f t="shared" ref="O121:O123" si="68">+M121-N121</f>
        <v>0</v>
      </c>
    </row>
    <row r="122" spans="1:15">
      <c r="A122" s="26">
        <f t="shared" si="20"/>
        <v>61</v>
      </c>
      <c r="B122" s="6"/>
      <c r="C122" s="6"/>
      <c r="D122" s="7"/>
      <c r="E122" s="6" t="s">
        <v>51</v>
      </c>
      <c r="F122" s="6"/>
      <c r="G122" s="6"/>
      <c r="I122" s="44">
        <v>0</v>
      </c>
      <c r="J122" s="41">
        <v>0</v>
      </c>
      <c r="K122" s="41">
        <f t="shared" si="66"/>
        <v>0</v>
      </c>
      <c r="L122" s="29"/>
      <c r="M122" s="30">
        <f t="shared" si="67"/>
        <v>0</v>
      </c>
      <c r="N122" s="30">
        <v>0</v>
      </c>
      <c r="O122" s="30">
        <f t="shared" si="68"/>
        <v>0</v>
      </c>
    </row>
    <row r="123" spans="1:15">
      <c r="A123" s="26">
        <f t="shared" si="20"/>
        <v>62</v>
      </c>
      <c r="B123" s="6"/>
      <c r="C123" s="6"/>
      <c r="D123" s="6"/>
      <c r="E123" s="12" t="s">
        <v>53</v>
      </c>
      <c r="G123" s="6"/>
      <c r="I123" s="41">
        <v>0</v>
      </c>
      <c r="J123" s="41">
        <v>5000</v>
      </c>
      <c r="K123" s="41">
        <f t="shared" si="66"/>
        <v>5000</v>
      </c>
      <c r="L123" s="29"/>
      <c r="M123" s="30">
        <v>0</v>
      </c>
      <c r="N123" s="30">
        <v>0</v>
      </c>
      <c r="O123" s="30">
        <f t="shared" si="68"/>
        <v>0</v>
      </c>
    </row>
    <row r="124" spans="1:15">
      <c r="A124" s="26">
        <f t="shared" si="20"/>
        <v>63</v>
      </c>
      <c r="B124" s="6"/>
      <c r="C124" s="6"/>
      <c r="D124" s="6"/>
      <c r="E124" s="6"/>
      <c r="F124" s="6"/>
      <c r="G124" s="6"/>
      <c r="I124" s="46">
        <f t="shared" ref="I124:O124" si="69">SUM(I121:I123)</f>
        <v>0</v>
      </c>
      <c r="J124" s="46">
        <f t="shared" si="69"/>
        <v>5000</v>
      </c>
      <c r="K124" s="46">
        <f t="shared" si="69"/>
        <v>5000</v>
      </c>
      <c r="L124" s="29"/>
      <c r="M124" s="46">
        <f t="shared" si="69"/>
        <v>0</v>
      </c>
      <c r="N124" s="46">
        <f t="shared" si="69"/>
        <v>0</v>
      </c>
      <c r="O124" s="46">
        <f t="shared" si="69"/>
        <v>0</v>
      </c>
    </row>
    <row r="125" spans="1:15">
      <c r="A125" s="26">
        <f t="shared" si="20"/>
        <v>64</v>
      </c>
      <c r="B125" s="6"/>
      <c r="C125" s="6"/>
      <c r="D125" s="7" t="s">
        <v>25</v>
      </c>
      <c r="E125" s="7"/>
      <c r="F125" s="6"/>
      <c r="G125" s="6"/>
      <c r="I125" s="44"/>
      <c r="J125" s="41"/>
      <c r="K125" s="41"/>
      <c r="L125" s="29"/>
      <c r="M125" s="30"/>
      <c r="N125" s="30"/>
      <c r="O125" s="30"/>
    </row>
    <row r="126" spans="1:15">
      <c r="A126" s="26">
        <f t="shared" si="20"/>
        <v>65</v>
      </c>
      <c r="B126" s="6"/>
      <c r="C126" s="6"/>
      <c r="D126" s="7"/>
      <c r="E126" s="6"/>
      <c r="F126" s="6"/>
      <c r="G126" s="6"/>
      <c r="I126" s="44">
        <v>0</v>
      </c>
      <c r="J126" s="30"/>
      <c r="K126" s="30"/>
      <c r="L126" s="29"/>
      <c r="M126" s="30"/>
      <c r="N126" s="30"/>
      <c r="O126" s="30"/>
    </row>
    <row r="127" spans="1:15">
      <c r="A127" s="26">
        <f t="shared" si="20"/>
        <v>66</v>
      </c>
      <c r="B127" s="6"/>
      <c r="C127" s="6"/>
      <c r="D127" s="7"/>
      <c r="E127" s="6" t="s">
        <v>38</v>
      </c>
      <c r="F127" s="6"/>
      <c r="G127" s="6"/>
      <c r="I127" s="44">
        <f>20000+18000</f>
        <v>38000</v>
      </c>
      <c r="J127" s="41">
        <v>35000</v>
      </c>
      <c r="K127" s="41">
        <f>+J127</f>
        <v>35000</v>
      </c>
      <c r="L127" s="29"/>
      <c r="M127" s="30">
        <v>0</v>
      </c>
      <c r="N127" s="30">
        <v>0</v>
      </c>
      <c r="O127" s="30">
        <f t="shared" ref="O127:O128" si="70">+M127-N127</f>
        <v>0</v>
      </c>
    </row>
    <row r="128" spans="1:15">
      <c r="A128" s="26">
        <f t="shared" ref="A128:A191" si="71">+A127+1</f>
        <v>67</v>
      </c>
      <c r="B128" s="6"/>
      <c r="C128" s="6"/>
      <c r="D128" s="6"/>
      <c r="E128" s="12" t="s">
        <v>58</v>
      </c>
      <c r="G128" s="6"/>
      <c r="I128" s="41">
        <f>10000+6000</f>
        <v>16000</v>
      </c>
      <c r="J128" s="41">
        <v>5000</v>
      </c>
      <c r="K128" s="41">
        <f>+J128</f>
        <v>5000</v>
      </c>
      <c r="L128" s="29"/>
      <c r="M128" s="30">
        <v>0</v>
      </c>
      <c r="N128" s="30">
        <v>0</v>
      </c>
      <c r="O128" s="30">
        <f t="shared" si="70"/>
        <v>0</v>
      </c>
    </row>
    <row r="129" spans="1:16">
      <c r="A129" s="26">
        <f t="shared" si="71"/>
        <v>68</v>
      </c>
      <c r="B129" s="6"/>
      <c r="C129" s="6"/>
      <c r="D129" s="6"/>
      <c r="E129" s="6"/>
      <c r="F129" s="6"/>
      <c r="G129" s="6"/>
      <c r="I129" s="46">
        <f t="shared" ref="I129:O129" si="72">SUM(I126:I128)</f>
        <v>54000</v>
      </c>
      <c r="J129" s="46">
        <f t="shared" si="72"/>
        <v>40000</v>
      </c>
      <c r="K129" s="46">
        <f t="shared" ref="K129" si="73">SUM(K126:K128)</f>
        <v>40000</v>
      </c>
      <c r="L129" s="29"/>
      <c r="M129" s="46">
        <f t="shared" si="72"/>
        <v>0</v>
      </c>
      <c r="N129" s="46">
        <f t="shared" si="72"/>
        <v>0</v>
      </c>
      <c r="O129" s="46">
        <f t="shared" si="72"/>
        <v>0</v>
      </c>
    </row>
    <row r="130" spans="1:16">
      <c r="A130" s="26">
        <f t="shared" si="71"/>
        <v>69</v>
      </c>
      <c r="B130" s="6"/>
      <c r="C130" s="6"/>
      <c r="D130" s="2" t="s">
        <v>111</v>
      </c>
      <c r="E130" s="2"/>
      <c r="F130" s="6"/>
      <c r="G130" s="6"/>
      <c r="I130" s="31"/>
      <c r="J130" s="31"/>
      <c r="K130" s="31"/>
      <c r="L130" s="29"/>
      <c r="M130" s="30"/>
      <c r="N130" s="30"/>
      <c r="O130" s="30"/>
    </row>
    <row r="131" spans="1:16">
      <c r="A131" s="26">
        <f t="shared" si="71"/>
        <v>70</v>
      </c>
      <c r="B131" s="6"/>
      <c r="C131" s="6"/>
      <c r="D131" s="6"/>
      <c r="E131" s="6" t="s">
        <v>59</v>
      </c>
      <c r="G131" s="6"/>
      <c r="I131" s="45">
        <v>10000</v>
      </c>
      <c r="J131" s="41">
        <v>20000</v>
      </c>
      <c r="K131" s="41">
        <f t="shared" ref="K131:K132" si="74">+J131</f>
        <v>20000</v>
      </c>
      <c r="L131" s="29"/>
      <c r="M131" s="30">
        <v>0</v>
      </c>
      <c r="N131" s="30">
        <v>0</v>
      </c>
      <c r="O131" s="30">
        <f t="shared" ref="O131:O132" si="75">+M131-N131</f>
        <v>0</v>
      </c>
    </row>
    <row r="132" spans="1:16">
      <c r="A132" s="26">
        <f t="shared" si="71"/>
        <v>71</v>
      </c>
      <c r="B132" s="6"/>
      <c r="C132" s="6"/>
      <c r="D132" s="6"/>
      <c r="E132" s="6" t="s">
        <v>26</v>
      </c>
      <c r="G132" s="6"/>
      <c r="I132" s="45">
        <v>50000</v>
      </c>
      <c r="J132" s="45">
        <v>60000</v>
      </c>
      <c r="K132" s="41">
        <f t="shared" si="74"/>
        <v>60000</v>
      </c>
      <c r="L132" s="29"/>
      <c r="M132" s="30">
        <v>0</v>
      </c>
      <c r="N132" s="30">
        <v>0</v>
      </c>
      <c r="O132" s="30">
        <f t="shared" si="75"/>
        <v>0</v>
      </c>
    </row>
    <row r="133" spans="1:16">
      <c r="A133" s="26">
        <f t="shared" si="71"/>
        <v>72</v>
      </c>
      <c r="B133" s="6"/>
      <c r="C133" s="6"/>
      <c r="D133" s="6"/>
      <c r="E133" s="6"/>
      <c r="F133" s="6"/>
      <c r="G133" s="6"/>
      <c r="I133" s="46">
        <f t="shared" ref="I133:O133" si="76">SUM(I131:I132)</f>
        <v>60000</v>
      </c>
      <c r="J133" s="46">
        <f t="shared" si="76"/>
        <v>80000</v>
      </c>
      <c r="K133" s="46">
        <f>SUM(K131:K132)</f>
        <v>80000</v>
      </c>
      <c r="L133" s="29"/>
      <c r="M133" s="46">
        <f t="shared" si="76"/>
        <v>0</v>
      </c>
      <c r="N133" s="46">
        <f t="shared" si="76"/>
        <v>0</v>
      </c>
      <c r="O133" s="46">
        <f t="shared" si="76"/>
        <v>0</v>
      </c>
    </row>
    <row r="134" spans="1:16">
      <c r="A134" s="26">
        <f t="shared" si="71"/>
        <v>73</v>
      </c>
      <c r="B134" s="6"/>
      <c r="C134" s="6"/>
      <c r="D134" s="6"/>
      <c r="E134" s="6"/>
      <c r="F134" s="6"/>
      <c r="G134" s="6"/>
      <c r="I134" s="45"/>
      <c r="J134" s="45"/>
      <c r="K134" s="45"/>
      <c r="L134" s="29"/>
      <c r="M134" s="30"/>
      <c r="N134" s="30"/>
      <c r="O134" s="30"/>
    </row>
    <row r="135" spans="1:16">
      <c r="A135" s="26">
        <f t="shared" si="71"/>
        <v>74</v>
      </c>
      <c r="B135" s="6"/>
      <c r="C135" s="6"/>
      <c r="D135" s="2" t="s">
        <v>105</v>
      </c>
      <c r="E135" s="6"/>
      <c r="F135" s="6"/>
      <c r="G135" s="6"/>
      <c r="I135" s="45"/>
      <c r="J135" s="45"/>
      <c r="K135" s="45"/>
      <c r="L135" s="29"/>
      <c r="M135" s="30"/>
      <c r="N135" s="30"/>
      <c r="O135" s="30"/>
    </row>
    <row r="136" spans="1:16" ht="15">
      <c r="A136" s="26">
        <f t="shared" si="71"/>
        <v>75</v>
      </c>
      <c r="B136" s="6"/>
      <c r="C136" s="6"/>
      <c r="D136" s="2"/>
      <c r="E136" s="6" t="s">
        <v>36</v>
      </c>
      <c r="F136" s="6"/>
      <c r="G136" s="88"/>
      <c r="I136" s="45"/>
      <c r="J136" s="45">
        <v>180000</v>
      </c>
      <c r="K136" s="41">
        <f t="shared" ref="K136:K137" si="77">+J136</f>
        <v>180000</v>
      </c>
      <c r="L136" s="29"/>
      <c r="M136" s="30">
        <f>+K136/26*3.6</f>
        <v>24923.076923076922</v>
      </c>
      <c r="N136" s="30">
        <v>24923.09</v>
      </c>
      <c r="O136" s="30">
        <f t="shared" ref="O136:O137" si="78">+M136-N136</f>
        <v>-1.3076923078187974E-2</v>
      </c>
    </row>
    <row r="137" spans="1:16" ht="15">
      <c r="A137" s="26">
        <f t="shared" si="71"/>
        <v>76</v>
      </c>
      <c r="B137" s="6"/>
      <c r="C137" s="6"/>
      <c r="D137" s="6"/>
      <c r="E137" s="6" t="s">
        <v>51</v>
      </c>
      <c r="F137" s="6"/>
      <c r="G137" s="88"/>
      <c r="I137" s="45"/>
      <c r="J137" s="45">
        <v>86890.704000000027</v>
      </c>
      <c r="K137" s="41">
        <f t="shared" si="77"/>
        <v>86890.704000000027</v>
      </c>
      <c r="L137" s="29"/>
      <c r="M137" s="30">
        <f>+K137/26*3.6</f>
        <v>12031.020553846158</v>
      </c>
      <c r="N137" s="30">
        <v>12726.3</v>
      </c>
      <c r="O137" s="30">
        <f t="shared" si="78"/>
        <v>-695.27944615384149</v>
      </c>
    </row>
    <row r="138" spans="1:16">
      <c r="A138" s="26">
        <f t="shared" si="71"/>
        <v>77</v>
      </c>
      <c r="B138" s="6"/>
      <c r="C138" s="6"/>
      <c r="D138" s="6"/>
      <c r="E138" s="6"/>
      <c r="F138" s="6"/>
      <c r="G138" s="6"/>
      <c r="I138" s="45"/>
      <c r="J138" s="46">
        <f>SUM(J136:J137)</f>
        <v>266890.70400000003</v>
      </c>
      <c r="K138" s="46">
        <f>SUM(K136:K137)</f>
        <v>266890.70400000003</v>
      </c>
      <c r="L138" s="29"/>
      <c r="M138" s="46">
        <f t="shared" ref="M138:O138" si="79">SUM(M136:M137)</f>
        <v>36954.097476923082</v>
      </c>
      <c r="N138" s="46">
        <f t="shared" si="79"/>
        <v>37649.39</v>
      </c>
      <c r="O138" s="46">
        <f t="shared" si="79"/>
        <v>-695.29252307691968</v>
      </c>
    </row>
    <row r="139" spans="1:16">
      <c r="A139" s="26">
        <f t="shared" si="71"/>
        <v>78</v>
      </c>
      <c r="B139" s="6"/>
      <c r="C139" s="6"/>
      <c r="D139" s="7" t="s">
        <v>27</v>
      </c>
      <c r="E139" s="7"/>
      <c r="F139" s="6"/>
      <c r="G139" s="6"/>
      <c r="I139" s="41"/>
      <c r="J139" s="41"/>
      <c r="K139" s="41"/>
      <c r="L139" s="29"/>
      <c r="M139" s="30"/>
      <c r="N139" s="30"/>
      <c r="O139" s="30"/>
    </row>
    <row r="140" spans="1:16">
      <c r="A140" s="26">
        <f t="shared" si="71"/>
        <v>79</v>
      </c>
      <c r="B140" s="6"/>
      <c r="C140" s="6"/>
      <c r="D140" s="6"/>
      <c r="E140" s="6" t="s">
        <v>36</v>
      </c>
      <c r="F140" s="6"/>
      <c r="I140" s="16">
        <f>112000+98000+120748</f>
        <v>330748</v>
      </c>
      <c r="J140" s="41">
        <v>345000</v>
      </c>
      <c r="K140" s="41">
        <f t="shared" ref="K140:K153" si="80">+J140</f>
        <v>345000</v>
      </c>
      <c r="L140" s="29"/>
      <c r="M140" s="30">
        <f t="shared" ref="M140:M141" si="81">+K140/26*3.6</f>
        <v>47769.230769230773</v>
      </c>
      <c r="N140" s="30">
        <f>9884.61+12876.91</f>
        <v>22761.52</v>
      </c>
      <c r="O140" s="30">
        <f t="shared" ref="O140:O154" si="82">+M140-N140</f>
        <v>25007.710769230773</v>
      </c>
    </row>
    <row r="141" spans="1:16">
      <c r="A141" s="26">
        <f t="shared" si="71"/>
        <v>80</v>
      </c>
      <c r="B141" s="6"/>
      <c r="C141" s="6"/>
      <c r="D141" s="6"/>
      <c r="E141" s="6" t="s">
        <v>51</v>
      </c>
      <c r="F141" s="6"/>
      <c r="I141" s="16">
        <f>16065+9237+5160+15480+54264+31201</f>
        <v>131407</v>
      </c>
      <c r="J141" s="41">
        <v>178338.96400000009</v>
      </c>
      <c r="K141" s="41">
        <f t="shared" si="80"/>
        <v>178338.96400000009</v>
      </c>
      <c r="L141" s="29"/>
      <c r="M141" s="30">
        <f t="shared" si="81"/>
        <v>24693.087323076939</v>
      </c>
      <c r="N141" s="30">
        <f>7529.27+5997.53-407.89</f>
        <v>13118.91</v>
      </c>
      <c r="O141" s="30">
        <f t="shared" si="82"/>
        <v>11574.17732307694</v>
      </c>
      <c r="P141" s="87"/>
    </row>
    <row r="142" spans="1:16">
      <c r="A142" s="26">
        <f t="shared" si="71"/>
        <v>81</v>
      </c>
      <c r="B142" s="6"/>
      <c r="C142" s="6"/>
      <c r="D142" s="6"/>
      <c r="E142" s="6" t="s">
        <v>60</v>
      </c>
      <c r="F142" s="6"/>
      <c r="I142" s="16"/>
      <c r="J142" s="16">
        <v>567750</v>
      </c>
      <c r="K142" s="41">
        <f t="shared" si="80"/>
        <v>567750</v>
      </c>
      <c r="L142" s="29"/>
      <c r="M142" s="30">
        <f t="shared" ref="M142:M151" si="83">+K142/12*2</f>
        <v>94625</v>
      </c>
      <c r="N142" s="30">
        <v>94625</v>
      </c>
      <c r="O142" s="30">
        <f t="shared" si="82"/>
        <v>0</v>
      </c>
      <c r="P142" s="27"/>
    </row>
    <row r="143" spans="1:16">
      <c r="A143" s="26">
        <f t="shared" si="71"/>
        <v>82</v>
      </c>
      <c r="B143" s="6"/>
      <c r="C143" s="6"/>
      <c r="D143" s="6"/>
      <c r="E143" s="6" t="s">
        <v>61</v>
      </c>
      <c r="F143" s="6"/>
      <c r="I143" s="16">
        <v>906002</v>
      </c>
      <c r="J143" s="16">
        <v>0</v>
      </c>
      <c r="K143" s="41">
        <f t="shared" si="80"/>
        <v>0</v>
      </c>
      <c r="L143" s="29"/>
      <c r="M143" s="30">
        <f t="shared" si="83"/>
        <v>0</v>
      </c>
      <c r="N143" s="30">
        <v>0</v>
      </c>
      <c r="O143" s="30">
        <f t="shared" si="82"/>
        <v>0</v>
      </c>
    </row>
    <row r="144" spans="1:16">
      <c r="A144" s="26">
        <f t="shared" si="71"/>
        <v>83</v>
      </c>
      <c r="B144" s="6"/>
      <c r="C144" s="6"/>
      <c r="D144" s="6"/>
      <c r="E144" s="6" t="s">
        <v>62</v>
      </c>
      <c r="F144" s="6"/>
      <c r="I144" s="16">
        <f>40000</f>
        <v>40000</v>
      </c>
      <c r="J144" s="16">
        <v>30000</v>
      </c>
      <c r="K144" s="41">
        <f t="shared" si="80"/>
        <v>30000</v>
      </c>
      <c r="L144" s="29"/>
      <c r="M144" s="30">
        <f t="shared" si="83"/>
        <v>5000</v>
      </c>
      <c r="N144" s="30">
        <v>269.5</v>
      </c>
      <c r="O144" s="30">
        <f t="shared" si="82"/>
        <v>4730.5</v>
      </c>
    </row>
    <row r="145" spans="1:15">
      <c r="A145" s="26">
        <f t="shared" si="71"/>
        <v>84</v>
      </c>
      <c r="B145" s="6"/>
      <c r="C145" s="6"/>
      <c r="D145" s="6"/>
      <c r="E145" s="6" t="s">
        <v>39</v>
      </c>
      <c r="F145" s="6"/>
      <c r="I145" s="16"/>
      <c r="J145" s="41"/>
      <c r="K145" s="41">
        <f t="shared" si="80"/>
        <v>0</v>
      </c>
      <c r="L145" s="29"/>
      <c r="M145" s="30">
        <f t="shared" si="83"/>
        <v>0</v>
      </c>
      <c r="N145" s="30"/>
      <c r="O145" s="30">
        <f t="shared" si="82"/>
        <v>0</v>
      </c>
    </row>
    <row r="146" spans="1:15">
      <c r="A146" s="26">
        <f t="shared" si="71"/>
        <v>85</v>
      </c>
      <c r="B146" s="6"/>
      <c r="C146" s="6"/>
      <c r="D146" s="6"/>
      <c r="E146" s="6"/>
      <c r="F146" s="6" t="s">
        <v>63</v>
      </c>
      <c r="I146" s="16">
        <v>1500</v>
      </c>
      <c r="J146" s="41">
        <v>5500</v>
      </c>
      <c r="K146" s="41">
        <f t="shared" si="80"/>
        <v>5500</v>
      </c>
      <c r="L146" s="29"/>
      <c r="M146" s="30">
        <f t="shared" si="83"/>
        <v>916.66666666666663</v>
      </c>
      <c r="N146" s="30">
        <v>732.96</v>
      </c>
      <c r="O146" s="30">
        <f t="shared" si="82"/>
        <v>183.70666666666659</v>
      </c>
    </row>
    <row r="147" spans="1:15">
      <c r="A147" s="26">
        <f t="shared" si="71"/>
        <v>86</v>
      </c>
      <c r="B147" s="6"/>
      <c r="C147" s="6"/>
      <c r="D147" s="6"/>
      <c r="E147" s="6"/>
      <c r="F147" s="6" t="s">
        <v>64</v>
      </c>
      <c r="I147" s="16">
        <v>3600</v>
      </c>
      <c r="J147" s="41">
        <v>5500</v>
      </c>
      <c r="K147" s="41">
        <f t="shared" si="80"/>
        <v>5500</v>
      </c>
      <c r="L147" s="29"/>
      <c r="M147" s="30">
        <f t="shared" si="83"/>
        <v>916.66666666666663</v>
      </c>
      <c r="N147" s="30">
        <v>215.18</v>
      </c>
      <c r="O147" s="30">
        <f t="shared" si="82"/>
        <v>701.48666666666668</v>
      </c>
    </row>
    <row r="148" spans="1:15">
      <c r="A148" s="26">
        <f t="shared" si="71"/>
        <v>87</v>
      </c>
      <c r="B148" s="6"/>
      <c r="C148" s="6"/>
      <c r="D148" s="6"/>
      <c r="E148" s="6"/>
      <c r="F148" s="10" t="s">
        <v>65</v>
      </c>
      <c r="I148" s="16">
        <v>1000</v>
      </c>
      <c r="J148" s="41">
        <v>0</v>
      </c>
      <c r="K148" s="41">
        <f t="shared" si="80"/>
        <v>0</v>
      </c>
      <c r="L148" s="29"/>
      <c r="M148" s="30">
        <f t="shared" si="83"/>
        <v>0</v>
      </c>
      <c r="N148" s="30">
        <v>0</v>
      </c>
      <c r="O148" s="30">
        <f t="shared" si="82"/>
        <v>0</v>
      </c>
    </row>
    <row r="149" spans="1:15">
      <c r="A149" s="26">
        <f t="shared" si="71"/>
        <v>88</v>
      </c>
      <c r="B149" s="6"/>
      <c r="C149" s="6"/>
      <c r="D149" s="6"/>
      <c r="E149" s="6"/>
      <c r="F149" s="6" t="s">
        <v>66</v>
      </c>
      <c r="I149" s="16">
        <v>1500</v>
      </c>
      <c r="J149" s="41">
        <v>0</v>
      </c>
      <c r="K149" s="41">
        <f t="shared" si="80"/>
        <v>0</v>
      </c>
      <c r="L149" s="29"/>
      <c r="M149" s="30">
        <f t="shared" si="83"/>
        <v>0</v>
      </c>
      <c r="N149" s="30">
        <v>0</v>
      </c>
      <c r="O149" s="30">
        <f t="shared" si="82"/>
        <v>0</v>
      </c>
    </row>
    <row r="150" spans="1:15">
      <c r="A150" s="26">
        <f t="shared" si="71"/>
        <v>89</v>
      </c>
      <c r="B150" s="6"/>
      <c r="C150" s="6"/>
      <c r="D150" s="6"/>
      <c r="E150" s="6"/>
      <c r="F150" s="6" t="s">
        <v>112</v>
      </c>
      <c r="I150" s="16">
        <v>6000</v>
      </c>
      <c r="J150" s="41">
        <v>35000</v>
      </c>
      <c r="K150" s="41">
        <f t="shared" si="80"/>
        <v>35000</v>
      </c>
      <c r="L150" s="29"/>
      <c r="M150" s="30">
        <f t="shared" si="83"/>
        <v>5833.333333333333</v>
      </c>
      <c r="N150" s="30">
        <v>14214.26</v>
      </c>
      <c r="O150" s="30">
        <f t="shared" si="82"/>
        <v>-8380.9266666666663</v>
      </c>
    </row>
    <row r="151" spans="1:15">
      <c r="B151" s="6"/>
      <c r="C151" s="6"/>
      <c r="D151" s="6"/>
      <c r="E151" s="6" t="s">
        <v>113</v>
      </c>
      <c r="F151" s="6"/>
      <c r="I151" s="16"/>
      <c r="J151" s="41">
        <v>0</v>
      </c>
      <c r="K151" s="41">
        <f t="shared" si="80"/>
        <v>0</v>
      </c>
      <c r="L151" s="29"/>
      <c r="M151" s="30">
        <f t="shared" si="83"/>
        <v>0</v>
      </c>
      <c r="N151" s="30">
        <v>0</v>
      </c>
      <c r="O151" s="30">
        <f t="shared" si="82"/>
        <v>0</v>
      </c>
    </row>
    <row r="152" spans="1:15">
      <c r="A152" s="26">
        <f>+A150+1</f>
        <v>90</v>
      </c>
      <c r="B152" s="6"/>
      <c r="C152" s="6"/>
      <c r="D152" s="6"/>
      <c r="E152" s="10" t="s">
        <v>52</v>
      </c>
      <c r="F152" s="6"/>
      <c r="I152" s="24">
        <f>3900+51000+1200+1000+300</f>
        <v>57400</v>
      </c>
      <c r="J152" s="16">
        <v>29400</v>
      </c>
      <c r="K152" s="41">
        <f t="shared" si="80"/>
        <v>29400</v>
      </c>
      <c r="L152" s="29"/>
      <c r="M152" s="30">
        <f>+K152/12*6</f>
        <v>14700</v>
      </c>
      <c r="N152" s="30">
        <f>18353.01+800</f>
        <v>19153.009999999998</v>
      </c>
      <c r="O152" s="30">
        <f t="shared" si="82"/>
        <v>-4453.0099999999984</v>
      </c>
    </row>
    <row r="153" spans="1:15">
      <c r="A153" s="26">
        <f t="shared" si="71"/>
        <v>91</v>
      </c>
      <c r="B153" s="6"/>
      <c r="C153" s="6"/>
      <c r="D153" s="6"/>
      <c r="E153" s="6" t="s">
        <v>67</v>
      </c>
      <c r="F153" s="6"/>
      <c r="I153" s="16"/>
      <c r="J153" s="16">
        <v>25000</v>
      </c>
      <c r="K153" s="41">
        <f t="shared" si="80"/>
        <v>25000</v>
      </c>
      <c r="L153" s="29"/>
      <c r="M153" s="30">
        <f>+K153/12*0</f>
        <v>0</v>
      </c>
      <c r="N153" s="30">
        <v>0</v>
      </c>
      <c r="O153" s="30">
        <f>+M153-N153</f>
        <v>0</v>
      </c>
    </row>
    <row r="154" spans="1:15">
      <c r="A154" s="26">
        <f t="shared" si="71"/>
        <v>92</v>
      </c>
      <c r="B154" s="6"/>
      <c r="C154" s="6"/>
      <c r="D154" s="6"/>
      <c r="E154" s="10" t="s">
        <v>54</v>
      </c>
      <c r="F154" s="6"/>
      <c r="I154" s="24">
        <f>6000+36000+24000+6000+6765</f>
        <v>78765</v>
      </c>
      <c r="J154" s="51">
        <v>0</v>
      </c>
      <c r="K154" s="51">
        <v>0</v>
      </c>
      <c r="L154" s="29"/>
      <c r="M154" s="30">
        <f>N154</f>
        <v>0</v>
      </c>
      <c r="N154" s="30">
        <v>0</v>
      </c>
      <c r="O154" s="30">
        <f t="shared" si="82"/>
        <v>0</v>
      </c>
    </row>
    <row r="155" spans="1:15">
      <c r="A155" s="26">
        <f t="shared" si="71"/>
        <v>93</v>
      </c>
      <c r="B155" s="6"/>
      <c r="C155" s="6"/>
      <c r="D155" s="6"/>
      <c r="E155" s="6"/>
      <c r="F155" s="6"/>
      <c r="G155" s="6"/>
      <c r="I155" s="46">
        <f>SUM(I140:I154)</f>
        <v>1557922</v>
      </c>
      <c r="J155" s="46">
        <f>SUM(J140:J154)</f>
        <v>1221488.9640000002</v>
      </c>
      <c r="K155" s="46">
        <f>SUM(K140:K154)</f>
        <v>1221488.9640000002</v>
      </c>
      <c r="L155" s="29"/>
      <c r="M155" s="46">
        <f>SUM(M140:M154)</f>
        <v>194453.98475897437</v>
      </c>
      <c r="N155" s="46">
        <f>SUM(N140:N154)</f>
        <v>165090.34</v>
      </c>
      <c r="O155" s="46">
        <f>SUM(O140:O154)</f>
        <v>29363.644758974373</v>
      </c>
    </row>
    <row r="156" spans="1:15">
      <c r="A156" s="26">
        <f t="shared" si="71"/>
        <v>94</v>
      </c>
      <c r="B156" s="6"/>
      <c r="C156" s="6"/>
      <c r="D156" s="7" t="s">
        <v>28</v>
      </c>
      <c r="E156" s="7"/>
      <c r="F156" s="6"/>
      <c r="G156" s="6"/>
      <c r="I156" s="44"/>
      <c r="J156" s="41"/>
      <c r="K156" s="41"/>
      <c r="L156" s="29"/>
      <c r="M156" s="30"/>
      <c r="N156" s="30"/>
      <c r="O156" s="30"/>
    </row>
    <row r="157" spans="1:15">
      <c r="A157" s="26">
        <f t="shared" si="71"/>
        <v>95</v>
      </c>
      <c r="B157" s="6"/>
      <c r="C157" s="6"/>
      <c r="D157" s="7"/>
      <c r="E157" s="6" t="s">
        <v>36</v>
      </c>
      <c r="F157" s="6"/>
      <c r="G157" s="6"/>
      <c r="I157" s="44">
        <v>41000</v>
      </c>
      <c r="J157" s="41">
        <v>0</v>
      </c>
      <c r="K157" s="41">
        <f t="shared" ref="K157:K160" si="84">+J157</f>
        <v>0</v>
      </c>
      <c r="L157" s="29"/>
      <c r="M157" s="30">
        <f t="shared" ref="M157:M158" si="85">+K157/26*0</f>
        <v>0</v>
      </c>
      <c r="N157" s="30">
        <v>0</v>
      </c>
      <c r="O157" s="30">
        <f t="shared" ref="O157:O160" si="86">+M157-N157</f>
        <v>0</v>
      </c>
    </row>
    <row r="158" spans="1:15">
      <c r="A158" s="26">
        <f t="shared" si="71"/>
        <v>96</v>
      </c>
      <c r="B158" s="6"/>
      <c r="C158" s="6"/>
      <c r="D158" s="7"/>
      <c r="E158" s="6" t="s">
        <v>51</v>
      </c>
      <c r="F158" s="6"/>
      <c r="G158" s="6"/>
      <c r="I158" s="44">
        <f>3136+5160+10594</f>
        <v>18890</v>
      </c>
      <c r="J158" s="41">
        <v>0</v>
      </c>
      <c r="K158" s="41">
        <f t="shared" si="84"/>
        <v>0</v>
      </c>
      <c r="L158" s="29"/>
      <c r="M158" s="30">
        <f t="shared" si="85"/>
        <v>0</v>
      </c>
      <c r="N158" s="30">
        <f>351.96-351.96</f>
        <v>0</v>
      </c>
      <c r="O158" s="30">
        <f t="shared" si="86"/>
        <v>0</v>
      </c>
    </row>
    <row r="159" spans="1:15">
      <c r="A159" s="26">
        <f t="shared" si="71"/>
        <v>97</v>
      </c>
      <c r="B159" s="6"/>
      <c r="C159" s="6"/>
      <c r="D159" s="6"/>
      <c r="E159" s="6" t="s">
        <v>38</v>
      </c>
      <c r="G159" s="6"/>
      <c r="I159" s="41">
        <v>1000</v>
      </c>
      <c r="J159" s="41">
        <v>50000</v>
      </c>
      <c r="K159" s="41">
        <f t="shared" si="84"/>
        <v>50000</v>
      </c>
      <c r="L159" s="29"/>
      <c r="M159" s="30">
        <f t="shared" ref="M159" si="87">+K159/12*2</f>
        <v>8333.3333333333339</v>
      </c>
      <c r="N159" s="30">
        <v>2291</v>
      </c>
      <c r="O159" s="30">
        <f t="shared" si="86"/>
        <v>6042.3333333333339</v>
      </c>
    </row>
    <row r="160" spans="1:15">
      <c r="A160" s="26">
        <f t="shared" si="71"/>
        <v>98</v>
      </c>
      <c r="B160" s="6"/>
      <c r="C160" s="6"/>
      <c r="D160" s="6"/>
      <c r="E160" s="10" t="s">
        <v>52</v>
      </c>
      <c r="G160" s="6"/>
      <c r="I160" s="41">
        <v>900</v>
      </c>
      <c r="J160" s="41">
        <v>15000</v>
      </c>
      <c r="K160" s="41">
        <f t="shared" si="84"/>
        <v>15000</v>
      </c>
      <c r="L160" s="29"/>
      <c r="M160" s="30">
        <v>0</v>
      </c>
      <c r="N160" s="30">
        <v>0</v>
      </c>
      <c r="O160" s="30">
        <f t="shared" si="86"/>
        <v>0</v>
      </c>
    </row>
    <row r="161" spans="1:15">
      <c r="A161" s="26">
        <f t="shared" si="71"/>
        <v>99</v>
      </c>
      <c r="B161" s="6"/>
      <c r="C161" s="6"/>
      <c r="D161" s="6"/>
      <c r="E161" s="6"/>
      <c r="F161" s="6"/>
      <c r="G161" s="6"/>
      <c r="I161" s="46">
        <f t="shared" ref="I161" si="88">SUM(I157:I160)</f>
        <v>61790</v>
      </c>
      <c r="J161" s="46">
        <f>SUM(J157:J160)</f>
        <v>65000</v>
      </c>
      <c r="K161" s="46">
        <f>SUM(K157:K160)</f>
        <v>65000</v>
      </c>
      <c r="L161" s="29"/>
      <c r="M161" s="46">
        <f t="shared" ref="M161:O161" si="89">SUM(M157:M160)</f>
        <v>8333.3333333333339</v>
      </c>
      <c r="N161" s="46">
        <f>SUM(N157:N160)</f>
        <v>2291</v>
      </c>
      <c r="O161" s="46">
        <f t="shared" si="89"/>
        <v>6042.3333333333339</v>
      </c>
    </row>
    <row r="162" spans="1:15">
      <c r="A162" s="26">
        <f t="shared" si="71"/>
        <v>100</v>
      </c>
      <c r="B162" s="6"/>
      <c r="C162" s="6"/>
      <c r="D162" s="7" t="s">
        <v>29</v>
      </c>
      <c r="E162" s="6"/>
      <c r="F162" s="6"/>
      <c r="G162" s="6"/>
      <c r="I162" s="45"/>
      <c r="J162" s="41"/>
      <c r="K162" s="41"/>
      <c r="L162" s="29"/>
      <c r="M162" s="30"/>
      <c r="N162" s="30"/>
      <c r="O162" s="30"/>
    </row>
    <row r="163" spans="1:15">
      <c r="A163" s="26">
        <f t="shared" si="71"/>
        <v>101</v>
      </c>
      <c r="B163" s="6"/>
      <c r="C163" s="6"/>
      <c r="D163" s="7"/>
      <c r="E163" s="6" t="s">
        <v>36</v>
      </c>
      <c r="F163" s="6"/>
      <c r="G163" s="6"/>
      <c r="I163" s="41"/>
      <c r="J163" s="41">
        <v>24960</v>
      </c>
      <c r="K163" s="41">
        <f t="shared" ref="K163:K168" si="90">+J163</f>
        <v>24960</v>
      </c>
      <c r="L163" s="29"/>
      <c r="M163" s="30">
        <v>0</v>
      </c>
      <c r="N163" s="30">
        <v>0</v>
      </c>
      <c r="O163" s="30">
        <f t="shared" ref="O163:O168" si="91">+M163-N163</f>
        <v>0</v>
      </c>
    </row>
    <row r="164" spans="1:15">
      <c r="A164" s="26">
        <f t="shared" si="71"/>
        <v>102</v>
      </c>
      <c r="B164" s="6"/>
      <c r="C164" s="6"/>
      <c r="D164" s="7"/>
      <c r="E164" s="6" t="s">
        <v>51</v>
      </c>
      <c r="F164" s="6"/>
      <c r="G164" s="6"/>
      <c r="I164" s="45"/>
      <c r="J164" s="45">
        <v>2558.84</v>
      </c>
      <c r="K164" s="41">
        <f t="shared" si="90"/>
        <v>2558.84</v>
      </c>
      <c r="L164" s="29"/>
      <c r="M164" s="30">
        <v>0</v>
      </c>
      <c r="N164" s="30">
        <v>0</v>
      </c>
      <c r="O164" s="30">
        <f t="shared" si="91"/>
        <v>0</v>
      </c>
    </row>
    <row r="165" spans="1:15">
      <c r="A165" s="26">
        <f t="shared" si="71"/>
        <v>103</v>
      </c>
      <c r="B165" s="6"/>
      <c r="C165" s="6"/>
      <c r="D165" s="6"/>
      <c r="E165" s="6" t="s">
        <v>68</v>
      </c>
      <c r="G165" s="6"/>
      <c r="I165" s="45"/>
      <c r="J165" s="41">
        <v>100000</v>
      </c>
      <c r="K165" s="41">
        <f t="shared" si="90"/>
        <v>100000</v>
      </c>
      <c r="L165" s="29"/>
      <c r="M165" s="30">
        <f t="shared" ref="M165:M168" si="92">+K165/12*2</f>
        <v>16666.666666666668</v>
      </c>
      <c r="N165" s="30">
        <v>14733.34</v>
      </c>
      <c r="O165" s="30">
        <f t="shared" si="91"/>
        <v>1933.3266666666677</v>
      </c>
    </row>
    <row r="166" spans="1:15">
      <c r="A166" s="26">
        <f t="shared" si="71"/>
        <v>104</v>
      </c>
      <c r="B166" s="6"/>
      <c r="C166" s="6"/>
      <c r="D166" s="6"/>
      <c r="E166" s="6" t="s">
        <v>69</v>
      </c>
      <c r="H166" s="11"/>
      <c r="I166" s="45"/>
      <c r="J166" s="45">
        <v>40000</v>
      </c>
      <c r="K166" s="41">
        <f t="shared" si="90"/>
        <v>40000</v>
      </c>
      <c r="L166" s="29"/>
      <c r="M166" s="30">
        <f t="shared" si="92"/>
        <v>6666.666666666667</v>
      </c>
      <c r="N166" s="30">
        <f>3058.77+1408.75</f>
        <v>4467.5200000000004</v>
      </c>
      <c r="O166" s="30">
        <f t="shared" si="91"/>
        <v>2199.1466666666665</v>
      </c>
    </row>
    <row r="167" spans="1:15">
      <c r="A167" s="26">
        <f t="shared" si="71"/>
        <v>105</v>
      </c>
      <c r="B167" s="6"/>
      <c r="C167" s="6"/>
      <c r="D167" s="6"/>
      <c r="E167" s="6" t="s">
        <v>70</v>
      </c>
      <c r="G167" s="6"/>
      <c r="I167" s="45"/>
      <c r="J167" s="45">
        <v>30000</v>
      </c>
      <c r="K167" s="41">
        <f t="shared" si="90"/>
        <v>30000</v>
      </c>
      <c r="L167" s="29"/>
      <c r="M167" s="30">
        <f t="shared" si="92"/>
        <v>5000</v>
      </c>
      <c r="N167" s="30">
        <v>2000</v>
      </c>
      <c r="O167" s="30">
        <f t="shared" si="91"/>
        <v>3000</v>
      </c>
    </row>
    <row r="168" spans="1:15">
      <c r="A168" s="26">
        <f t="shared" si="71"/>
        <v>106</v>
      </c>
      <c r="B168" s="6"/>
      <c r="C168" s="6"/>
      <c r="D168" s="6"/>
      <c r="E168" s="6" t="s">
        <v>98</v>
      </c>
      <c r="G168" s="6"/>
      <c r="I168" s="45"/>
      <c r="J168" s="41">
        <v>7500</v>
      </c>
      <c r="K168" s="41">
        <f t="shared" si="90"/>
        <v>7500</v>
      </c>
      <c r="L168" s="29"/>
      <c r="M168" s="30">
        <f t="shared" si="92"/>
        <v>1250</v>
      </c>
      <c r="N168" s="30">
        <f>970.37+75.33</f>
        <v>1045.7</v>
      </c>
      <c r="O168" s="30">
        <f t="shared" si="91"/>
        <v>204.29999999999995</v>
      </c>
    </row>
    <row r="169" spans="1:15">
      <c r="A169" s="26">
        <f t="shared" si="71"/>
        <v>107</v>
      </c>
      <c r="B169" s="6"/>
      <c r="C169" s="6"/>
      <c r="D169" s="6"/>
      <c r="E169" s="6"/>
      <c r="F169" s="6"/>
      <c r="G169" s="6"/>
      <c r="I169" s="46">
        <f t="shared" ref="I169" si="93">SUM(I163:I168)</f>
        <v>0</v>
      </c>
      <c r="J169" s="46">
        <f t="shared" ref="J169" si="94">SUM(J163:J168)</f>
        <v>205018.84</v>
      </c>
      <c r="K169" s="46">
        <f>SUM(K163:K168)</f>
        <v>205018.84</v>
      </c>
      <c r="L169" s="29"/>
      <c r="M169" s="46">
        <f>SUM(M163:M168)</f>
        <v>29583.333333333336</v>
      </c>
      <c r="N169" s="46">
        <f t="shared" ref="N169:O169" si="95">SUM(N163:N168)</f>
        <v>22246.560000000001</v>
      </c>
      <c r="O169" s="46">
        <f t="shared" si="95"/>
        <v>7336.7733333333344</v>
      </c>
    </row>
    <row r="170" spans="1:15">
      <c r="A170" s="26">
        <f t="shared" si="71"/>
        <v>108</v>
      </c>
      <c r="B170" s="6"/>
      <c r="C170" s="6"/>
      <c r="D170" s="7" t="s">
        <v>71</v>
      </c>
      <c r="E170" s="7"/>
      <c r="F170" s="6"/>
      <c r="G170" s="6"/>
      <c r="I170" s="41"/>
      <c r="J170" s="41"/>
      <c r="K170" s="41"/>
      <c r="L170" s="29"/>
      <c r="M170" s="30"/>
      <c r="N170" s="30"/>
      <c r="O170" s="30"/>
    </row>
    <row r="171" spans="1:15">
      <c r="A171" s="26">
        <f t="shared" si="71"/>
        <v>109</v>
      </c>
      <c r="B171" s="6"/>
      <c r="C171" s="6"/>
      <c r="D171" s="7"/>
      <c r="E171" s="6" t="s">
        <v>36</v>
      </c>
      <c r="F171" s="6"/>
      <c r="I171" s="41"/>
      <c r="J171" s="41">
        <v>95000</v>
      </c>
      <c r="K171" s="41">
        <f t="shared" ref="K171:K180" si="96">+J171</f>
        <v>95000</v>
      </c>
      <c r="L171" s="29"/>
      <c r="M171" s="30">
        <f t="shared" ref="M171:M172" si="97">+K171/26*3.6</f>
        <v>13153.846153846154</v>
      </c>
      <c r="N171" s="30">
        <v>7136.54</v>
      </c>
      <c r="O171" s="30">
        <f t="shared" ref="O171:O181" si="98">+M171-N171</f>
        <v>6017.3061538461543</v>
      </c>
    </row>
    <row r="172" spans="1:15">
      <c r="A172" s="26">
        <f t="shared" si="71"/>
        <v>110</v>
      </c>
      <c r="B172" s="6"/>
      <c r="C172" s="6"/>
      <c r="D172" s="7"/>
      <c r="E172" s="6" t="s">
        <v>51</v>
      </c>
      <c r="F172" s="6"/>
      <c r="I172" s="16"/>
      <c r="J172" s="41">
        <v>29487.584000000003</v>
      </c>
      <c r="K172" s="41">
        <f t="shared" si="96"/>
        <v>29487.584000000003</v>
      </c>
      <c r="L172" s="29"/>
      <c r="M172" s="30">
        <f t="shared" si="97"/>
        <v>4082.8962461538467</v>
      </c>
      <c r="N172" s="30">
        <v>2393.2199999999998</v>
      </c>
      <c r="O172" s="30">
        <f t="shared" si="98"/>
        <v>1689.6762461538469</v>
      </c>
    </row>
    <row r="173" spans="1:15">
      <c r="A173" s="26">
        <f t="shared" si="71"/>
        <v>111</v>
      </c>
      <c r="B173" s="6"/>
      <c r="C173" s="6"/>
      <c r="D173" s="6"/>
      <c r="E173" s="6" t="s">
        <v>72</v>
      </c>
      <c r="F173" s="6"/>
      <c r="I173" s="16"/>
      <c r="J173" s="41"/>
      <c r="K173" s="41">
        <f t="shared" si="96"/>
        <v>0</v>
      </c>
      <c r="L173" s="29"/>
      <c r="M173" s="30">
        <f t="shared" ref="M173:M180" si="99">+K173/12*2</f>
        <v>0</v>
      </c>
      <c r="N173" s="30"/>
      <c r="O173" s="30">
        <f t="shared" si="98"/>
        <v>0</v>
      </c>
    </row>
    <row r="174" spans="1:15">
      <c r="A174" s="26">
        <f t="shared" si="71"/>
        <v>112</v>
      </c>
      <c r="B174" s="6"/>
      <c r="C174" s="6"/>
      <c r="D174" s="6"/>
      <c r="E174" s="6"/>
      <c r="F174" s="6" t="s">
        <v>73</v>
      </c>
      <c r="I174" s="16">
        <v>105000</v>
      </c>
      <c r="J174" s="41">
        <v>85000</v>
      </c>
      <c r="K174" s="41">
        <f t="shared" si="96"/>
        <v>85000</v>
      </c>
      <c r="L174" s="29"/>
      <c r="M174" s="30">
        <f t="shared" si="99"/>
        <v>14166.666666666666</v>
      </c>
      <c r="N174" s="30">
        <v>18654.5</v>
      </c>
      <c r="O174" s="30">
        <f t="shared" si="98"/>
        <v>-4487.8333333333339</v>
      </c>
    </row>
    <row r="175" spans="1:15">
      <c r="A175" s="26">
        <f t="shared" si="71"/>
        <v>113</v>
      </c>
      <c r="B175" s="6"/>
      <c r="C175" s="6"/>
      <c r="D175" s="6"/>
      <c r="E175" s="6"/>
      <c r="F175" s="10" t="s">
        <v>74</v>
      </c>
      <c r="I175" s="16"/>
      <c r="J175" s="16"/>
      <c r="K175" s="41">
        <f t="shared" si="96"/>
        <v>0</v>
      </c>
      <c r="L175" s="29"/>
      <c r="M175" s="30">
        <f t="shared" si="99"/>
        <v>0</v>
      </c>
      <c r="N175" s="30">
        <v>0</v>
      </c>
      <c r="O175" s="30">
        <f t="shared" si="98"/>
        <v>0</v>
      </c>
    </row>
    <row r="176" spans="1:15">
      <c r="A176" s="26">
        <f t="shared" si="71"/>
        <v>114</v>
      </c>
      <c r="B176" s="9"/>
      <c r="C176" s="9"/>
      <c r="D176" s="9"/>
      <c r="E176" s="9"/>
      <c r="F176" s="21" t="s">
        <v>75</v>
      </c>
      <c r="G176" s="27"/>
      <c r="H176" s="27"/>
      <c r="I176" s="16">
        <v>250505</v>
      </c>
      <c r="J176" s="16">
        <v>260525.2</v>
      </c>
      <c r="K176" s="41">
        <f t="shared" si="96"/>
        <v>260525.2</v>
      </c>
      <c r="L176" s="29"/>
      <c r="M176" s="30">
        <f t="shared" si="99"/>
        <v>43420.866666666669</v>
      </c>
      <c r="N176" s="30">
        <v>41750.839999999997</v>
      </c>
      <c r="O176" s="89">
        <f t="shared" si="98"/>
        <v>1670.0266666666721</v>
      </c>
    </row>
    <row r="177" spans="1:15">
      <c r="A177" s="26">
        <f t="shared" si="71"/>
        <v>115</v>
      </c>
      <c r="B177" s="6"/>
      <c r="C177" s="6"/>
      <c r="D177" s="6"/>
      <c r="E177" s="6"/>
      <c r="F177" s="12" t="s">
        <v>76</v>
      </c>
      <c r="I177" s="16"/>
      <c r="J177" s="16">
        <v>35000</v>
      </c>
      <c r="K177" s="41">
        <f t="shared" si="96"/>
        <v>35000</v>
      </c>
      <c r="L177" s="29"/>
      <c r="M177" s="30">
        <v>0</v>
      </c>
      <c r="N177" s="30">
        <v>0</v>
      </c>
      <c r="O177" s="30">
        <f t="shared" si="98"/>
        <v>0</v>
      </c>
    </row>
    <row r="178" spans="1:15">
      <c r="A178" s="26">
        <f t="shared" si="71"/>
        <v>116</v>
      </c>
      <c r="B178" s="6"/>
      <c r="C178" s="6"/>
      <c r="D178" s="6"/>
      <c r="E178" s="6"/>
      <c r="F178" s="12" t="s">
        <v>77</v>
      </c>
      <c r="I178" s="16">
        <v>105000</v>
      </c>
      <c r="J178" s="16">
        <v>150000.00150000001</v>
      </c>
      <c r="K178" s="41">
        <f t="shared" si="96"/>
        <v>150000.00150000001</v>
      </c>
      <c r="L178" s="29"/>
      <c r="M178" s="30">
        <v>0</v>
      </c>
      <c r="N178" s="30">
        <v>0</v>
      </c>
      <c r="O178" s="30">
        <f t="shared" si="98"/>
        <v>0</v>
      </c>
    </row>
    <row r="179" spans="1:15">
      <c r="A179" s="26">
        <f t="shared" si="71"/>
        <v>117</v>
      </c>
      <c r="B179" s="9"/>
      <c r="C179" s="9"/>
      <c r="D179" s="9"/>
      <c r="E179" s="9"/>
      <c r="F179" s="22" t="s">
        <v>78</v>
      </c>
      <c r="G179" s="27"/>
      <c r="H179" s="27"/>
      <c r="I179" s="16">
        <f>21000+66000</f>
        <v>87000</v>
      </c>
      <c r="J179" s="16">
        <v>300000</v>
      </c>
      <c r="K179" s="41">
        <f t="shared" si="96"/>
        <v>300000</v>
      </c>
      <c r="L179" s="29"/>
      <c r="M179" s="30">
        <f t="shared" si="99"/>
        <v>50000</v>
      </c>
      <c r="N179" s="30">
        <f>3889.03+725.54+1984.37+4250</f>
        <v>10848.939999999999</v>
      </c>
      <c r="O179" s="30">
        <f t="shared" si="98"/>
        <v>39151.06</v>
      </c>
    </row>
    <row r="180" spans="1:15">
      <c r="A180" s="26">
        <f t="shared" si="71"/>
        <v>118</v>
      </c>
      <c r="B180" s="6"/>
      <c r="C180" s="6"/>
      <c r="D180" s="6"/>
      <c r="E180" s="6"/>
      <c r="F180" s="12" t="s">
        <v>52</v>
      </c>
      <c r="I180" s="16">
        <v>12000</v>
      </c>
      <c r="J180" s="16">
        <v>40000</v>
      </c>
      <c r="K180" s="41">
        <f t="shared" si="96"/>
        <v>40000</v>
      </c>
      <c r="L180" s="29"/>
      <c r="M180" s="30">
        <f t="shared" si="99"/>
        <v>6666.666666666667</v>
      </c>
      <c r="N180" s="37">
        <v>5169.04</v>
      </c>
      <c r="O180" s="30">
        <f t="shared" si="98"/>
        <v>1497.626666666667</v>
      </c>
    </row>
    <row r="181" spans="1:15" hidden="1">
      <c r="A181" s="26">
        <f t="shared" si="71"/>
        <v>119</v>
      </c>
      <c r="B181" s="6"/>
      <c r="C181" s="6"/>
      <c r="D181" s="6"/>
      <c r="E181" s="6"/>
      <c r="F181" s="12" t="s">
        <v>79</v>
      </c>
      <c r="I181" s="16"/>
      <c r="J181" s="16"/>
      <c r="K181" s="16"/>
      <c r="L181" s="29"/>
      <c r="M181" s="30"/>
      <c r="N181" s="30"/>
      <c r="O181" s="30">
        <f t="shared" si="98"/>
        <v>0</v>
      </c>
    </row>
    <row r="182" spans="1:15">
      <c r="A182" s="26">
        <f t="shared" si="71"/>
        <v>120</v>
      </c>
      <c r="B182" s="6"/>
      <c r="C182" s="6"/>
      <c r="D182" s="6"/>
      <c r="E182" s="6"/>
      <c r="F182" s="6"/>
      <c r="G182" s="6"/>
      <c r="I182" s="46">
        <f t="shared" ref="I182:O182" si="100">SUM(I171:I180)</f>
        <v>559505</v>
      </c>
      <c r="J182" s="46">
        <f t="shared" si="100"/>
        <v>995012.7855</v>
      </c>
      <c r="K182" s="46">
        <f t="shared" ref="K182" si="101">SUM(K171:K180)</f>
        <v>995012.7855</v>
      </c>
      <c r="L182" s="29"/>
      <c r="M182" s="46">
        <f t="shared" si="100"/>
        <v>131490.9424</v>
      </c>
      <c r="N182" s="46">
        <f>SUM(N171:N181)</f>
        <v>85953.08</v>
      </c>
      <c r="O182" s="46">
        <f t="shared" si="100"/>
        <v>45537.862399999998</v>
      </c>
    </row>
    <row r="183" spans="1:15" hidden="1">
      <c r="A183" s="26">
        <f t="shared" si="71"/>
        <v>121</v>
      </c>
      <c r="B183" s="6"/>
      <c r="C183" s="6"/>
      <c r="D183" s="7" t="s">
        <v>100</v>
      </c>
      <c r="E183" s="6"/>
      <c r="F183" s="6"/>
      <c r="G183" s="6"/>
      <c r="I183" s="45"/>
      <c r="J183" s="45"/>
      <c r="K183" s="45"/>
      <c r="L183" s="29"/>
      <c r="M183" s="30"/>
      <c r="N183" s="30"/>
      <c r="O183" s="30"/>
    </row>
    <row r="184" spans="1:15" hidden="1">
      <c r="A184" s="26">
        <f t="shared" si="71"/>
        <v>122</v>
      </c>
      <c r="B184" s="6"/>
      <c r="C184" s="6"/>
      <c r="D184" s="6"/>
      <c r="E184" s="12" t="s">
        <v>101</v>
      </c>
      <c r="F184" s="6"/>
      <c r="I184" s="17"/>
      <c r="J184" s="17"/>
      <c r="K184" s="17"/>
      <c r="L184" s="29"/>
      <c r="M184" s="17"/>
      <c r="N184" s="17"/>
      <c r="O184" s="46">
        <f>+M184-N184</f>
        <v>0</v>
      </c>
    </row>
    <row r="185" spans="1:15">
      <c r="A185" s="26">
        <f t="shared" si="71"/>
        <v>123</v>
      </c>
      <c r="B185" s="6"/>
      <c r="C185" s="6"/>
      <c r="D185" s="6"/>
      <c r="E185" s="12"/>
      <c r="F185" s="6"/>
      <c r="I185" s="16"/>
      <c r="J185" s="16"/>
      <c r="K185" s="16"/>
      <c r="L185" s="29"/>
      <c r="M185" s="30"/>
      <c r="N185" s="30"/>
      <c r="O185" s="30"/>
    </row>
    <row r="186" spans="1:15">
      <c r="A186" s="26">
        <f t="shared" si="71"/>
        <v>124</v>
      </c>
      <c r="B186" s="6"/>
      <c r="C186" s="6"/>
      <c r="D186" s="2" t="s">
        <v>80</v>
      </c>
      <c r="E186" s="1"/>
      <c r="F186" s="6"/>
      <c r="G186" s="6"/>
      <c r="I186" s="41"/>
      <c r="J186" s="41"/>
      <c r="K186" s="41"/>
      <c r="L186" s="29"/>
      <c r="M186" s="30"/>
      <c r="N186" s="30"/>
      <c r="O186" s="30"/>
    </row>
    <row r="187" spans="1:15">
      <c r="A187" s="26">
        <f t="shared" si="71"/>
        <v>125</v>
      </c>
      <c r="B187" s="6"/>
      <c r="C187" s="6"/>
      <c r="D187" s="6"/>
      <c r="E187" s="6" t="s">
        <v>38</v>
      </c>
      <c r="G187" s="6"/>
      <c r="I187" s="41">
        <v>40500</v>
      </c>
      <c r="J187" s="41">
        <v>30000</v>
      </c>
      <c r="K187" s="41">
        <f t="shared" ref="K187:K189" si="102">+J187</f>
        <v>30000</v>
      </c>
      <c r="L187" s="29"/>
      <c r="M187" s="30">
        <f t="shared" ref="M187:M188" si="103">+K187/12*2</f>
        <v>5000</v>
      </c>
      <c r="N187" s="30">
        <v>2500</v>
      </c>
      <c r="O187" s="30">
        <f t="shared" ref="O187:O189" si="104">+M187-N187</f>
        <v>2500</v>
      </c>
    </row>
    <row r="188" spans="1:15">
      <c r="A188" s="26">
        <f t="shared" si="71"/>
        <v>126</v>
      </c>
      <c r="B188" s="6"/>
      <c r="C188" s="6"/>
      <c r="D188" s="6"/>
      <c r="E188" s="6" t="s">
        <v>81</v>
      </c>
      <c r="G188" s="6"/>
      <c r="I188" s="41"/>
      <c r="J188" s="41">
        <v>65000</v>
      </c>
      <c r="K188" s="41">
        <f t="shared" si="102"/>
        <v>65000</v>
      </c>
      <c r="L188" s="29"/>
      <c r="M188" s="30">
        <f t="shared" si="103"/>
        <v>10833.333333333334</v>
      </c>
      <c r="N188" s="30">
        <v>651.1</v>
      </c>
      <c r="O188" s="30">
        <f>+M188-N188</f>
        <v>10182.233333333334</v>
      </c>
    </row>
    <row r="189" spans="1:15">
      <c r="A189" s="26">
        <f t="shared" si="71"/>
        <v>127</v>
      </c>
      <c r="B189" s="6"/>
      <c r="C189" s="6"/>
      <c r="D189" s="6"/>
      <c r="E189" s="12" t="s">
        <v>52</v>
      </c>
      <c r="G189" s="6"/>
      <c r="I189" s="41"/>
      <c r="J189" s="41">
        <v>30000</v>
      </c>
      <c r="K189" s="41">
        <f t="shared" si="102"/>
        <v>30000</v>
      </c>
      <c r="L189" s="29"/>
      <c r="M189" s="30">
        <v>0</v>
      </c>
      <c r="N189" s="30">
        <v>0</v>
      </c>
      <c r="O189" s="30">
        <f t="shared" si="104"/>
        <v>0</v>
      </c>
    </row>
    <row r="190" spans="1:15">
      <c r="A190" s="26">
        <f t="shared" si="71"/>
        <v>128</v>
      </c>
      <c r="B190" s="6"/>
      <c r="C190" s="6"/>
      <c r="D190" s="6"/>
      <c r="E190" s="6"/>
      <c r="F190" s="6"/>
      <c r="G190" s="6"/>
      <c r="I190" s="47">
        <f t="shared" ref="I190:O190" si="105">SUM(I187:I189)</f>
        <v>40500</v>
      </c>
      <c r="J190" s="47">
        <f t="shared" si="105"/>
        <v>125000</v>
      </c>
      <c r="K190" s="47">
        <f t="shared" si="105"/>
        <v>125000</v>
      </c>
      <c r="L190" s="29"/>
      <c r="M190" s="47">
        <f t="shared" si="105"/>
        <v>15833.333333333334</v>
      </c>
      <c r="N190" s="47">
        <f>SUM(N187:N189)</f>
        <v>3151.1</v>
      </c>
      <c r="O190" s="47">
        <f t="shared" si="105"/>
        <v>12682.233333333334</v>
      </c>
    </row>
    <row r="191" spans="1:15">
      <c r="A191" s="26">
        <f t="shared" si="71"/>
        <v>129</v>
      </c>
      <c r="B191" s="6"/>
      <c r="C191" s="6"/>
      <c r="D191" s="6"/>
      <c r="E191" s="6"/>
      <c r="F191" s="6"/>
      <c r="G191" s="6"/>
      <c r="I191" s="44"/>
      <c r="J191" s="41"/>
      <c r="K191" s="41"/>
      <c r="L191" s="29"/>
      <c r="M191" s="30"/>
      <c r="N191" s="30"/>
      <c r="O191" s="30"/>
    </row>
    <row r="192" spans="1:15">
      <c r="A192" s="26">
        <f t="shared" ref="A192:A213" si="106">+A191+1</f>
        <v>130</v>
      </c>
      <c r="B192" s="6"/>
      <c r="C192" s="6"/>
      <c r="D192" s="6"/>
      <c r="E192" s="6"/>
      <c r="F192" s="7" t="s">
        <v>82</v>
      </c>
      <c r="G192" s="6"/>
      <c r="I192" s="52" t="e">
        <f>+I190+I184+I182+I169+I161+I155+I133+#REF!+I124+I115+I110+I119+I129</f>
        <v>#REF!</v>
      </c>
      <c r="J192" s="52">
        <f>+J190+J184+J182+J169+J161+J155+J133+J124+J115+J110+J119+J129+J138</f>
        <v>3380017.2174999998</v>
      </c>
      <c r="K192" s="52">
        <f>+K190+K184+K182+K169+K161+K155+K133+K124+K115+K110+K119+K129+K138</f>
        <v>3380017.2174999998</v>
      </c>
      <c r="L192" s="29"/>
      <c r="M192" s="52">
        <f t="shared" ref="M192:O192" si="107">+M190+M184+M182+M169+M161+M155+M133+M124+M115+M110+M119+M129+M138</f>
        <v>429639.10999487189</v>
      </c>
      <c r="N192" s="52">
        <f>+N190+N184+N182+N169+N161+N155+N133+N124+N115+N110+N119+N129+N138</f>
        <v>321060.02</v>
      </c>
      <c r="O192" s="52">
        <f t="shared" si="107"/>
        <v>108579.08999487181</v>
      </c>
    </row>
    <row r="193" spans="1:15">
      <c r="A193" s="26">
        <f t="shared" si="106"/>
        <v>131</v>
      </c>
      <c r="B193" s="6"/>
      <c r="C193" s="6"/>
      <c r="D193" s="6"/>
      <c r="E193" s="6"/>
      <c r="F193" s="7"/>
      <c r="G193" s="6"/>
      <c r="I193" s="50"/>
      <c r="J193" s="31"/>
      <c r="K193" s="31"/>
      <c r="L193" s="29"/>
      <c r="M193" s="30"/>
      <c r="N193" s="30"/>
      <c r="O193" s="30"/>
    </row>
    <row r="194" spans="1:15">
      <c r="A194" s="26">
        <f t="shared" si="106"/>
        <v>132</v>
      </c>
      <c r="B194" s="6"/>
      <c r="C194" s="7" t="s">
        <v>83</v>
      </c>
      <c r="D194" s="6"/>
      <c r="E194" s="6"/>
      <c r="F194" s="7"/>
      <c r="G194" s="6"/>
      <c r="I194" s="50"/>
      <c r="J194" s="31"/>
      <c r="K194" s="31"/>
      <c r="L194" s="29"/>
      <c r="M194" s="30"/>
      <c r="N194" s="30"/>
      <c r="O194" s="30"/>
    </row>
    <row r="195" spans="1:15">
      <c r="A195" s="26">
        <f t="shared" si="106"/>
        <v>133</v>
      </c>
      <c r="B195" s="6"/>
      <c r="D195" s="7" t="str">
        <f>+'[1]Multi-Year Personnel'!B66</f>
        <v>Coordinator, Mentoring Initiatives</v>
      </c>
      <c r="E195" s="6"/>
      <c r="F195" s="7"/>
      <c r="G195" s="6"/>
      <c r="I195" s="50"/>
      <c r="J195" s="31"/>
      <c r="K195" s="31"/>
      <c r="L195" s="29"/>
      <c r="M195" s="30"/>
      <c r="N195" s="30"/>
      <c r="O195" s="30"/>
    </row>
    <row r="196" spans="1:15">
      <c r="A196" s="26">
        <f t="shared" si="106"/>
        <v>134</v>
      </c>
      <c r="B196" s="6"/>
      <c r="D196" s="6"/>
      <c r="E196" s="6" t="s">
        <v>36</v>
      </c>
      <c r="G196" s="6"/>
      <c r="I196" s="44">
        <v>16200</v>
      </c>
      <c r="J196" s="41">
        <v>48600</v>
      </c>
      <c r="K196" s="41">
        <f t="shared" ref="K196:K198" si="108">+J196</f>
        <v>48600</v>
      </c>
      <c r="L196" s="29"/>
      <c r="M196" s="30">
        <f t="shared" ref="M196:M197" si="109">+K196/26*0</f>
        <v>0</v>
      </c>
      <c r="N196" s="30">
        <v>0</v>
      </c>
      <c r="O196" s="30">
        <f t="shared" ref="O196:O198" si="110">+M196-N196</f>
        <v>0</v>
      </c>
    </row>
    <row r="197" spans="1:15">
      <c r="A197" s="26">
        <f>+A195+1</f>
        <v>134</v>
      </c>
      <c r="B197" s="6"/>
      <c r="D197" s="6"/>
      <c r="E197" s="6" t="s">
        <v>51</v>
      </c>
      <c r="G197" s="6"/>
      <c r="I197" s="44">
        <f>1239+4223</f>
        <v>5462</v>
      </c>
      <c r="J197" s="41">
        <v>18312.580000000002</v>
      </c>
      <c r="K197" s="41">
        <f t="shared" si="108"/>
        <v>18312.580000000002</v>
      </c>
      <c r="L197" s="29"/>
      <c r="M197" s="30">
        <f t="shared" si="109"/>
        <v>0</v>
      </c>
      <c r="N197" s="30">
        <v>0</v>
      </c>
      <c r="O197" s="30">
        <f t="shared" si="110"/>
        <v>0</v>
      </c>
    </row>
    <row r="198" spans="1:15">
      <c r="A198" s="26">
        <f>+A196+1</f>
        <v>135</v>
      </c>
      <c r="B198" s="6"/>
      <c r="D198" s="6"/>
      <c r="E198" s="6" t="s">
        <v>119</v>
      </c>
      <c r="G198" s="6"/>
      <c r="I198" s="44">
        <f>1239+4223</f>
        <v>5462</v>
      </c>
      <c r="J198" s="41">
        <v>1000</v>
      </c>
      <c r="K198" s="41">
        <f t="shared" si="108"/>
        <v>1000</v>
      </c>
      <c r="L198" s="29"/>
      <c r="M198" s="30">
        <v>0</v>
      </c>
      <c r="N198" s="30">
        <v>0</v>
      </c>
      <c r="O198" s="30">
        <f t="shared" si="110"/>
        <v>0</v>
      </c>
    </row>
    <row r="199" spans="1:15">
      <c r="A199" s="26">
        <f>+A198+1</f>
        <v>136</v>
      </c>
      <c r="B199" s="6"/>
      <c r="D199" s="6"/>
      <c r="E199" s="6"/>
      <c r="F199" s="7"/>
      <c r="G199" s="6"/>
      <c r="I199" s="46">
        <f>SUM(I196:I198)</f>
        <v>27124</v>
      </c>
      <c r="J199" s="46">
        <f>SUM(J196:J198)</f>
        <v>67912.58</v>
      </c>
      <c r="K199" s="46">
        <f>SUM(K196:K198)</f>
        <v>67912.58</v>
      </c>
      <c r="L199" s="29"/>
      <c r="M199" s="46">
        <f>SUM(M196:M198)</f>
        <v>0</v>
      </c>
      <c r="N199" s="46">
        <f>SUM(N196:N198)</f>
        <v>0</v>
      </c>
      <c r="O199" s="46">
        <f>SUM(O196:O198)</f>
        <v>0</v>
      </c>
    </row>
    <row r="200" spans="1:15">
      <c r="A200" s="26">
        <f t="shared" si="106"/>
        <v>137</v>
      </c>
      <c r="B200" s="6"/>
      <c r="D200" s="6"/>
      <c r="E200" s="6"/>
      <c r="F200" s="6"/>
      <c r="G200" s="7"/>
      <c r="I200" s="50"/>
      <c r="J200" s="31"/>
      <c r="K200" s="31"/>
      <c r="L200" s="29"/>
      <c r="M200" s="30"/>
      <c r="N200" s="30"/>
      <c r="O200" s="30"/>
    </row>
    <row r="201" spans="1:15">
      <c r="A201" s="26">
        <f t="shared" si="106"/>
        <v>138</v>
      </c>
      <c r="B201" s="6"/>
      <c r="D201" s="2" t="s">
        <v>84</v>
      </c>
      <c r="E201" s="6"/>
      <c r="F201" s="6"/>
      <c r="I201" s="31"/>
      <c r="J201" s="31"/>
      <c r="K201" s="41"/>
      <c r="L201" s="29"/>
      <c r="M201" s="30"/>
      <c r="N201" s="30"/>
      <c r="O201" s="30"/>
    </row>
    <row r="202" spans="1:15">
      <c r="A202" s="26">
        <f>+A200+1</f>
        <v>138</v>
      </c>
      <c r="B202" s="6"/>
      <c r="C202" s="6"/>
      <c r="D202" s="6"/>
      <c r="E202" s="6" t="s">
        <v>36</v>
      </c>
      <c r="F202" s="6"/>
      <c r="I202" s="45"/>
      <c r="J202" s="45">
        <v>58000</v>
      </c>
      <c r="K202" s="41">
        <f>+J202</f>
        <v>58000</v>
      </c>
      <c r="L202" s="29"/>
      <c r="M202" s="30">
        <f t="shared" ref="M202" si="111">+K202/26*0</f>
        <v>0</v>
      </c>
      <c r="N202" s="30">
        <v>0</v>
      </c>
      <c r="O202" s="30">
        <f>+M202-N202</f>
        <v>0</v>
      </c>
    </row>
    <row r="203" spans="1:15">
      <c r="A203" s="26">
        <f>+A201+1</f>
        <v>139</v>
      </c>
      <c r="B203" s="6"/>
      <c r="C203" s="6"/>
      <c r="D203" s="6"/>
      <c r="E203" s="6" t="s">
        <v>51</v>
      </c>
      <c r="F203" s="6"/>
      <c r="I203" s="45"/>
      <c r="J203" s="45">
        <v>32993.407999999996</v>
      </c>
      <c r="K203" s="41">
        <f>+J203</f>
        <v>32993.407999999996</v>
      </c>
      <c r="L203" s="29"/>
      <c r="M203" s="30">
        <f>+K203/26*1.5</f>
        <v>1903.4658461538459</v>
      </c>
      <c r="N203" s="30">
        <v>400.29</v>
      </c>
      <c r="O203" s="30">
        <f>+M203-N203</f>
        <v>1503.1758461538459</v>
      </c>
    </row>
    <row r="204" spans="1:15">
      <c r="A204" s="26">
        <f>+A201+1</f>
        <v>139</v>
      </c>
      <c r="B204" s="6"/>
      <c r="C204" s="6"/>
      <c r="D204" s="6"/>
      <c r="E204" s="6" t="s">
        <v>38</v>
      </c>
      <c r="F204" s="6"/>
      <c r="I204" s="45"/>
      <c r="J204" s="45">
        <v>5866.1925000000001</v>
      </c>
      <c r="K204" s="41">
        <f>+J204</f>
        <v>5866.1925000000001</v>
      </c>
      <c r="L204" s="29"/>
      <c r="M204" s="30">
        <v>0</v>
      </c>
      <c r="N204" s="30">
        <v>0</v>
      </c>
      <c r="O204" s="30">
        <f>+M204-N204</f>
        <v>0</v>
      </c>
    </row>
    <row r="205" spans="1:15">
      <c r="A205" s="26">
        <f t="shared" si="106"/>
        <v>140</v>
      </c>
      <c r="B205" s="6"/>
      <c r="C205" s="6"/>
      <c r="D205" s="6"/>
      <c r="E205" s="6"/>
      <c r="F205" s="6"/>
      <c r="G205" s="6"/>
      <c r="I205" s="53">
        <f t="shared" ref="I205" si="112">+I204</f>
        <v>0</v>
      </c>
      <c r="J205" s="53">
        <f>+SUM(J202:J204)</f>
        <v>96859.6005</v>
      </c>
      <c r="K205" s="53">
        <f>+SUM(K202:K204)</f>
        <v>96859.6005</v>
      </c>
      <c r="L205" s="29"/>
      <c r="M205" s="53">
        <f>+SUM(M202:M204)</f>
        <v>1903.4658461538459</v>
      </c>
      <c r="N205" s="53">
        <f>+SUM(N202:N204)</f>
        <v>400.29</v>
      </c>
      <c r="O205" s="53">
        <f>+SUM(O202:O204)</f>
        <v>1503.1758461538459</v>
      </c>
    </row>
    <row r="206" spans="1:15">
      <c r="A206" s="26">
        <f t="shared" si="106"/>
        <v>141</v>
      </c>
      <c r="B206" s="6"/>
      <c r="C206" s="6"/>
      <c r="D206" s="6"/>
      <c r="E206" s="6"/>
      <c r="F206" s="6"/>
      <c r="G206" s="6"/>
      <c r="I206" s="46"/>
      <c r="J206" s="46"/>
      <c r="K206" s="46"/>
      <c r="L206" s="29"/>
      <c r="M206" s="30"/>
      <c r="N206" s="30"/>
      <c r="O206" s="30"/>
    </row>
    <row r="207" spans="1:15">
      <c r="A207" s="26">
        <f t="shared" si="106"/>
        <v>142</v>
      </c>
      <c r="B207" s="6"/>
      <c r="C207" s="7" t="s">
        <v>83</v>
      </c>
      <c r="D207" s="6"/>
      <c r="E207" s="6"/>
      <c r="F207" s="6"/>
      <c r="G207" s="6"/>
      <c r="I207" s="46">
        <f t="shared" ref="I207:O207" si="113">I205+I199</f>
        <v>27124</v>
      </c>
      <c r="J207" s="46">
        <f t="shared" si="113"/>
        <v>164772.18050000002</v>
      </c>
      <c r="K207" s="46">
        <f t="shared" si="113"/>
        <v>164772.18050000002</v>
      </c>
      <c r="L207" s="29"/>
      <c r="M207" s="46">
        <f t="shared" si="113"/>
        <v>1903.4658461538459</v>
      </c>
      <c r="N207" s="46">
        <f>N205+N199</f>
        <v>400.29</v>
      </c>
      <c r="O207" s="46">
        <f t="shared" si="113"/>
        <v>1503.1758461538459</v>
      </c>
    </row>
    <row r="208" spans="1:15">
      <c r="A208" s="26">
        <f t="shared" si="106"/>
        <v>143</v>
      </c>
      <c r="B208" s="6"/>
      <c r="C208" s="6"/>
      <c r="D208" s="6"/>
      <c r="E208" s="6"/>
      <c r="F208" s="6"/>
      <c r="G208" s="6"/>
      <c r="I208" s="46"/>
      <c r="J208" s="46"/>
      <c r="K208" s="46"/>
      <c r="L208" s="29"/>
      <c r="M208" s="30"/>
      <c r="N208" s="30"/>
      <c r="O208" s="30"/>
    </row>
    <row r="209" spans="1:15">
      <c r="A209" s="26">
        <f t="shared" si="106"/>
        <v>144</v>
      </c>
      <c r="B209" s="1" t="s">
        <v>12</v>
      </c>
      <c r="C209" s="6"/>
      <c r="D209" s="6"/>
      <c r="E209" s="6"/>
      <c r="F209" s="6"/>
      <c r="G209" s="6"/>
      <c r="I209" s="54" t="e">
        <f>+I192+I104+I207</f>
        <v>#REF!</v>
      </c>
      <c r="J209" s="54">
        <f>+J192+J104+J207</f>
        <v>7567328.8612499991</v>
      </c>
      <c r="K209" s="54">
        <f>+K192+K104+K207</f>
        <v>7567328.8612499991</v>
      </c>
      <c r="L209" s="29"/>
      <c r="M209" s="54">
        <f>+M192+M104+M207</f>
        <v>660382.28136089747</v>
      </c>
      <c r="N209" s="54">
        <f>+N192+N104+N207</f>
        <v>550903.56000000006</v>
      </c>
      <c r="O209" s="54">
        <f>+O192+O104+O207</f>
        <v>109478.72136089744</v>
      </c>
    </row>
    <row r="210" spans="1:15">
      <c r="A210" s="26">
        <f t="shared" si="106"/>
        <v>145</v>
      </c>
      <c r="B210" s="6"/>
      <c r="C210" s="6"/>
      <c r="D210" s="6"/>
      <c r="E210" s="6"/>
      <c r="F210" s="6"/>
      <c r="G210" s="6"/>
      <c r="I210" s="49"/>
      <c r="J210" s="55"/>
      <c r="K210" s="55"/>
      <c r="L210" s="29"/>
      <c r="M210" s="30"/>
      <c r="N210" s="30"/>
      <c r="O210" s="30"/>
    </row>
    <row r="211" spans="1:15">
      <c r="A211" s="26">
        <f t="shared" si="106"/>
        <v>146</v>
      </c>
      <c r="B211" s="7" t="s">
        <v>85</v>
      </c>
      <c r="C211" s="6"/>
      <c r="D211" s="6"/>
      <c r="E211" s="6"/>
      <c r="F211" s="6"/>
      <c r="G211" s="6"/>
      <c r="I211" s="56" t="e">
        <f>I78-I209</f>
        <v>#REF!</v>
      </c>
      <c r="J211" s="56">
        <f>J78-J209</f>
        <v>71302.388750000857</v>
      </c>
      <c r="K211" s="56">
        <f>K78-K209</f>
        <v>71302.388750000857</v>
      </c>
      <c r="L211" s="29"/>
      <c r="M211" s="56">
        <f>M78-M209</f>
        <v>600431.26030576904</v>
      </c>
      <c r="N211" s="56">
        <f>N78-N209</f>
        <v>739784.90999999992</v>
      </c>
      <c r="O211" s="56">
        <f>+N211-M211</f>
        <v>139353.64969423087</v>
      </c>
    </row>
    <row r="212" spans="1:15">
      <c r="A212" s="26">
        <f t="shared" si="106"/>
        <v>147</v>
      </c>
      <c r="B212" s="6"/>
      <c r="C212" s="6"/>
      <c r="D212" s="6"/>
      <c r="E212" s="6"/>
      <c r="F212" s="6"/>
      <c r="G212" s="6"/>
      <c r="I212" s="49"/>
      <c r="J212" s="57"/>
      <c r="K212" s="57"/>
      <c r="L212" s="29"/>
      <c r="M212" s="30"/>
      <c r="N212" s="30"/>
      <c r="O212" s="30"/>
    </row>
    <row r="213" spans="1:15" ht="13.5" thickBot="1">
      <c r="A213" s="26">
        <f t="shared" si="106"/>
        <v>148</v>
      </c>
      <c r="B213" s="1" t="s">
        <v>13</v>
      </c>
      <c r="C213" s="6"/>
      <c r="D213" s="6"/>
      <c r="E213" s="6"/>
      <c r="F213" s="6"/>
      <c r="G213" s="6"/>
      <c r="I213" s="58" t="e">
        <f>+I211+I57</f>
        <v>#REF!</v>
      </c>
      <c r="J213" s="58">
        <f>+J211+J57</f>
        <v>71302.388750000857</v>
      </c>
      <c r="K213" s="58">
        <f>+K211+K57</f>
        <v>71302.388750000857</v>
      </c>
      <c r="L213" s="29"/>
      <c r="M213" s="58">
        <f>+M211+M57</f>
        <v>600431.26030576904</v>
      </c>
      <c r="N213" s="58">
        <f>+N211+N57</f>
        <v>739784.90999999992</v>
      </c>
      <c r="O213" s="58">
        <f>+O211+O57</f>
        <v>139353.64969423087</v>
      </c>
    </row>
    <row r="214" spans="1:15" ht="13.5" thickTop="1">
      <c r="G214" s="6"/>
    </row>
    <row r="215" spans="1:15">
      <c r="G215" s="6"/>
    </row>
    <row r="216" spans="1:15">
      <c r="G216" s="6"/>
    </row>
    <row r="217" spans="1:15">
      <c r="G217" s="6"/>
    </row>
    <row r="218" spans="1:15">
      <c r="G218" s="6"/>
    </row>
    <row r="220" spans="1:15">
      <c r="G220" s="6"/>
      <c r="L220" s="60"/>
    </row>
  </sheetData>
  <mergeCells count="1">
    <mergeCell ref="B1:H1"/>
  </mergeCells>
  <pageMargins left="0" right="0" top="0.75" bottom="0.75" header="0.3" footer="0.3"/>
  <pageSetup scale="78" firstPageNumber="2" orientation="portrait" useFirstPageNumber="1" r:id="rId1"/>
  <rowBreaks count="2" manualBreakCount="2">
    <brk id="56" max="1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P&amp;L</vt:lpstr>
      <vt:lpstr>'P&amp;L'!Print_Area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Smith</dc:creator>
  <cp:lastModifiedBy>skofsky</cp:lastModifiedBy>
  <cp:lastPrinted>2016-10-20T21:09:43Z</cp:lastPrinted>
  <dcterms:created xsi:type="dcterms:W3CDTF">2015-10-15T15:27:48Z</dcterms:created>
  <dcterms:modified xsi:type="dcterms:W3CDTF">2016-10-20T21:09:50Z</dcterms:modified>
</cp:coreProperties>
</file>